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<sst xmlns="http://schemas.openxmlformats.org/spreadsheetml/2006/main" count="1736" uniqueCount="996">
  <si>
    <t>City of Madison - Commercial Sales Data Base</t>
  </si>
  <si>
    <t>Improved Commercial Sales Determined to be Arms-Length and Verified by Assessor's Office Staff</t>
  </si>
  <si>
    <t>Key:</t>
  </si>
  <si>
    <t>PFA =</t>
  </si>
  <si>
    <t>Primary Floor Area</t>
  </si>
  <si>
    <t>GFA =</t>
  </si>
  <si>
    <t>Gross Floor Area</t>
  </si>
  <si>
    <t>SP =</t>
  </si>
  <si>
    <t>Sale Price</t>
  </si>
  <si>
    <t>St =</t>
  </si>
  <si>
    <t>Stories</t>
  </si>
  <si>
    <t>Document</t>
  </si>
  <si>
    <t>Sale</t>
  </si>
  <si>
    <t>#</t>
  </si>
  <si>
    <t>Sale Pr</t>
  </si>
  <si>
    <t>Land</t>
  </si>
  <si>
    <t>Use</t>
  </si>
  <si>
    <t>Yr</t>
  </si>
  <si>
    <t>Last Year</t>
  </si>
  <si>
    <t>Exterior</t>
  </si>
  <si>
    <t>Frame</t>
  </si>
  <si>
    <t>Sale #</t>
  </si>
  <si>
    <t>Area</t>
  </si>
  <si>
    <t>Parcel Number</t>
  </si>
  <si>
    <t>Situs</t>
  </si>
  <si>
    <t>Grantor</t>
  </si>
  <si>
    <t>Grantee</t>
  </si>
  <si>
    <t>Number</t>
  </si>
  <si>
    <t>Conv</t>
  </si>
  <si>
    <t>Date</t>
  </si>
  <si>
    <t>Price</t>
  </si>
  <si>
    <t>Description</t>
  </si>
  <si>
    <t>PFA</t>
  </si>
  <si>
    <t>SP / PFA</t>
  </si>
  <si>
    <t>GFA</t>
  </si>
  <si>
    <t>SP / GFA</t>
  </si>
  <si>
    <t>Units</t>
  </si>
  <si>
    <t>/ Unit</t>
  </si>
  <si>
    <t>SqFt</t>
  </si>
  <si>
    <t>Zoning</t>
  </si>
  <si>
    <t>Code</t>
  </si>
  <si>
    <t>Condition</t>
  </si>
  <si>
    <t>Built</t>
  </si>
  <si>
    <t>Remodel</t>
  </si>
  <si>
    <t>Wall</t>
  </si>
  <si>
    <t>Material</t>
  </si>
  <si>
    <t>St</t>
  </si>
  <si>
    <t>Comments - Line 1</t>
  </si>
  <si>
    <t>Comments Line 2</t>
  </si>
  <si>
    <t>Comments - Line 3</t>
  </si>
  <si>
    <t>Comments - Line 4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</si>
  <si>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</si>
  <si>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</si>
  <si>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</si>
  <si>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</si>
  <si>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</si>
  <si>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</si>
  <si>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</si>
  <si>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</si>
  <si>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</si>
  <si>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</si>
  <si>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</si>
  <si>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</si>
  <si>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</si>
  <si>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</si>
  <si>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</si>
  <si>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</si>
  <si>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</si>
  <si>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</si>
  <si>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</si>
  <si>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</si>
  <si>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</si>
  <si>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</si>
  <si>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</si>
  <si>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</si>
  <si>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</si>
  <si>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</si>
  <si>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</si>
  <si>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</si>
  <si>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</si>
  <si>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</si>
  <si>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</si>
  <si>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2003-001</t>
  </si>
  <si>
    <t>9923</t>
  </si>
  <si>
    <t>0709-353-0094-0</t>
  </si>
  <si>
    <t>902 Ann Street</t>
  </si>
  <si>
    <t>T. Long et al.</t>
  </si>
  <si>
    <t>CAG Development LLC</t>
  </si>
  <si>
    <t>3652251</t>
  </si>
  <si>
    <t>WD</t>
  </si>
  <si>
    <t>Office</t>
  </si>
  <si>
    <t>C2</t>
  </si>
  <si>
    <t>207</t>
  </si>
  <si>
    <t>Ave</t>
  </si>
  <si>
    <t>1955</t>
  </si>
  <si>
    <t>1994</t>
  </si>
  <si>
    <t>FBrk/Wd</t>
  </si>
  <si>
    <t>Wd</t>
  </si>
  <si>
    <t>1</t>
  </si>
  <si>
    <t>Two buildings on sale parcel. The original building was a Howard Johnson's restaurant</t>
  </si>
  <si>
    <t>which was remodeled into an office in 1979.  In 1994 another 1 story office with finished</t>
  </si>
  <si>
    <t xml:space="preserve">basement was built.  Original building is one story 9,411 SF of PFA and 2,577 SF partial unfinished </t>
  </si>
  <si>
    <t>basement.  The new building is 3,336 SF of 1st floor and finished basement for a PFA of 6,672 SF.</t>
  </si>
  <si>
    <t>2003-002</t>
  </si>
  <si>
    <t>9913</t>
  </si>
  <si>
    <t>0810-332-0318-4</t>
  </si>
  <si>
    <t>3710 E. Washington Ave.</t>
  </si>
  <si>
    <t>E. Washington Prop. LLC</t>
  </si>
  <si>
    <t>Eastgreen LLC</t>
  </si>
  <si>
    <t>3656869</t>
  </si>
  <si>
    <t xml:space="preserve">Retail </t>
  </si>
  <si>
    <t>C3L</t>
  </si>
  <si>
    <t>291</t>
  </si>
  <si>
    <t>1999</t>
  </si>
  <si>
    <t>FBrk</t>
  </si>
  <si>
    <t>Steel</t>
  </si>
  <si>
    <t xml:space="preserve">Walgreen store.  Triple net lease.  Purchased with tax deferred exchange money.  </t>
  </si>
  <si>
    <t>Had to pay $50,000 for insurance due to contamination migrating from adjacent property.</t>
  </si>
  <si>
    <t>2003-003</t>
  </si>
  <si>
    <t>9912</t>
  </si>
  <si>
    <t>0810-323-1102-9</t>
  </si>
  <si>
    <t>717 N. Oak Street</t>
  </si>
  <si>
    <t>Eugene &amp; Darcia Vosberg</t>
  </si>
  <si>
    <t>A-B Housing LLC</t>
  </si>
  <si>
    <t>3716936</t>
  </si>
  <si>
    <t>Apartments - 8 units</t>
  </si>
  <si>
    <t>R4</t>
  </si>
  <si>
    <t>004</t>
  </si>
  <si>
    <t>1972</t>
  </si>
  <si>
    <t>Alum</t>
  </si>
  <si>
    <t>2</t>
  </si>
  <si>
    <t xml:space="preserve">All one bedroom, one bath units.  </t>
  </si>
  <si>
    <t>2003-004</t>
  </si>
  <si>
    <t>0810-323-1103-7</t>
  </si>
  <si>
    <t>711 N. Oak Street</t>
  </si>
  <si>
    <t>3716933</t>
  </si>
  <si>
    <t>2003-005</t>
  </si>
  <si>
    <t>9915</t>
  </si>
  <si>
    <t>0710-223-0287-3</t>
  </si>
  <si>
    <t>4402 E. Broadway Ser. Rd.</t>
  </si>
  <si>
    <t>Madison Hospitality LLC</t>
  </si>
  <si>
    <t>Bartsch Properties LLC</t>
  </si>
  <si>
    <t>3720334</t>
  </si>
  <si>
    <t>Hotel - 69 rooms</t>
  </si>
  <si>
    <t>191</t>
  </si>
  <si>
    <t>1995</t>
  </si>
  <si>
    <t>FBrk/vinyl</t>
  </si>
  <si>
    <t>3</t>
  </si>
  <si>
    <t>Total sale price was $2,815,000, which included $315,000 in personal property.</t>
  </si>
  <si>
    <t>2003-006</t>
  </si>
  <si>
    <t>9924</t>
  </si>
  <si>
    <t>0709-212-0602-9</t>
  </si>
  <si>
    <t>2803-9 University Ave</t>
  </si>
  <si>
    <t xml:space="preserve">MOM Partnership </t>
  </si>
  <si>
    <t>Findlay Ptshp Assoc LLP</t>
  </si>
  <si>
    <t>3692589</t>
  </si>
  <si>
    <t>287</t>
  </si>
  <si>
    <t>1949</t>
  </si>
  <si>
    <t>1960</t>
  </si>
  <si>
    <t>CB/Stucco</t>
  </si>
  <si>
    <t>MLB</t>
  </si>
  <si>
    <t>Sale of two adjacent pcls, inc. 0709-212-0603-7; a 986 SF 1 story former restaurant,(Bahn Thai) now</t>
  </si>
  <si>
    <t>vacant to be razed for parking.  Retail store is 1 story with basement and has Budget Signs,</t>
  </si>
  <si>
    <t xml:space="preserve">Bombay Bazzar grocery and a dry cleaner as tenants.  </t>
  </si>
  <si>
    <t>2003-007</t>
  </si>
  <si>
    <t>0810-283-0202-4</t>
  </si>
  <si>
    <t>1706 Onsgard Road</t>
  </si>
  <si>
    <t>Duane &amp; Osbie Reed</t>
  </si>
  <si>
    <t>JHD Apartments LLC</t>
  </si>
  <si>
    <t>3649392</t>
  </si>
  <si>
    <t>1973</t>
  </si>
  <si>
    <t>Alum/FBrk</t>
  </si>
  <si>
    <t xml:space="preserve">All two bedroom, one bath units.  </t>
  </si>
  <si>
    <t>2003-008</t>
  </si>
  <si>
    <t>9914</t>
  </si>
  <si>
    <t>0710-044-0308-7</t>
  </si>
  <si>
    <t>99 S. Stoughton Road</t>
  </si>
  <si>
    <t>Marc A. Nelson</t>
  </si>
  <si>
    <t>RJDEB Properties LLC</t>
  </si>
  <si>
    <t>3663082</t>
  </si>
  <si>
    <t>Store &amp; Shop</t>
  </si>
  <si>
    <t>C3</t>
  </si>
  <si>
    <t>418</t>
  </si>
  <si>
    <t>PEStl</t>
  </si>
  <si>
    <t>Purchased to relocate grantee's business (East Side Transmission Service Inc.).  Property was</t>
  </si>
  <si>
    <t xml:space="preserve">listed for sale and paid asking price.  195 SF sunroom, used as display for former tenant, is not </t>
  </si>
  <si>
    <t>included in the PFA or GFA.</t>
  </si>
  <si>
    <t>2003-009</t>
  </si>
  <si>
    <t>9921</t>
  </si>
  <si>
    <t>0709-182-2301-0</t>
  </si>
  <si>
    <t>1667 Capital Avenue</t>
  </si>
  <si>
    <t>Petersen Family LP</t>
  </si>
  <si>
    <t>M Dean &amp; Viking Hse LLC</t>
  </si>
  <si>
    <t>3751438</t>
  </si>
  <si>
    <t>Apartments - 24 units</t>
  </si>
  <si>
    <t>R5</t>
  </si>
  <si>
    <t>1962</t>
  </si>
  <si>
    <t>All 1 bedroom 1 bath units.  There is 3,850 SF finished area in the basement for two small offices.</t>
  </si>
  <si>
    <t xml:space="preserve">Sale price is combination of two transfers of part interests.  Total price is the sum of the  </t>
  </si>
  <si>
    <t>the real estate and personal property prices reported.  Includes Doc. # 3751437.</t>
  </si>
  <si>
    <t>2003-010</t>
  </si>
  <si>
    <t>0708-253-0211-3</t>
  </si>
  <si>
    <t>5610 Schroeder Road</t>
  </si>
  <si>
    <t>Shagbark Prop. LLC</t>
  </si>
  <si>
    <t>Tesko LLC</t>
  </si>
  <si>
    <t>3728641</t>
  </si>
  <si>
    <t>209</t>
  </si>
  <si>
    <t>Wd/Stucco</t>
  </si>
  <si>
    <t xml:space="preserve">Sale of 2 pcls;  0708-253-0211-3 has 2 office buildings and pcl 0708-253-0212-1 is  2,681 SF of land </t>
  </si>
  <si>
    <t>leased to Wis Bell for an equipment building at the NW corner of the 2 parcels.</t>
  </si>
  <si>
    <t xml:space="preserve">The office building at 6506 Schroeder: blt 1972, 2 sty, 11,390 SF PFA &amp; GFA.  </t>
  </si>
  <si>
    <t xml:space="preserve">The office building at 6510 Schroeder:  blt 1985, 2 sty, 13,050 SF PFA &amp; GFA.  </t>
  </si>
  <si>
    <t>2003-011</t>
  </si>
  <si>
    <t>0810-303-0218-7</t>
  </si>
  <si>
    <t>2830 Dryden Drive</t>
  </si>
  <si>
    <t>C. &amp; N. Gencheff</t>
  </si>
  <si>
    <t>Sherman Plaza Inc.</t>
  </si>
  <si>
    <t>3683748</t>
  </si>
  <si>
    <t>187</t>
  </si>
  <si>
    <t>1980</t>
  </si>
  <si>
    <t>Wd/FBrk</t>
  </si>
  <si>
    <t xml:space="preserve">Medical office building.  Property listed for sale for several years.  Purchaser owns the adjacent </t>
  </si>
  <si>
    <t>shopping center.</t>
  </si>
  <si>
    <t>2003-012</t>
  </si>
  <si>
    <t>9922</t>
  </si>
  <si>
    <t>0708-262-0702-3</t>
  </si>
  <si>
    <t>7878 Big Sky Drive</t>
  </si>
  <si>
    <t>W. Dayton Assoc. LLC</t>
  </si>
  <si>
    <t>Richard V. Brown Sr.</t>
  </si>
  <si>
    <t>3781757</t>
  </si>
  <si>
    <t>1986</t>
  </si>
  <si>
    <t xml:space="preserve">Building built into grade.  First floor at grade level to the north, and the second floor is at grade on </t>
  </si>
  <si>
    <t>the south at the parking lot.</t>
  </si>
  <si>
    <t>2003-013</t>
  </si>
  <si>
    <t>0708-252-0310-5</t>
  </si>
  <si>
    <t>6510 Grand Teton Plaza</t>
  </si>
  <si>
    <t>YTM LLC</t>
  </si>
  <si>
    <t>EMS1 Properties LLC</t>
  </si>
  <si>
    <t>3734657</t>
  </si>
  <si>
    <t>1988</t>
  </si>
  <si>
    <t>Partial basement area is finished.  9,388 SF of ground floor is parking garage with 27 spaces.</t>
  </si>
  <si>
    <t>2003-014</t>
  </si>
  <si>
    <t>0709-201-1805-1</t>
  </si>
  <si>
    <t>216 N. Midvale Blvd</t>
  </si>
  <si>
    <t>KGB Partners LLP</t>
  </si>
  <si>
    <t>Knutson Entr &amp; Prop LLC</t>
  </si>
  <si>
    <t>3749773</t>
  </si>
  <si>
    <t>1959</t>
  </si>
  <si>
    <t>FBrk/CB</t>
  </si>
  <si>
    <t>Former Klipstien Lane Insurance Building vacant except 675 SF for Katz Podiatry.</t>
  </si>
  <si>
    <t>Buyer to occupy for his Insurance services business and remodel for a third tenant.</t>
  </si>
  <si>
    <t>2003-015</t>
  </si>
  <si>
    <t>0708-254-0082-6</t>
  </si>
  <si>
    <t>6001 Odana Road</t>
  </si>
  <si>
    <t>Jerry L. Walcott</t>
  </si>
  <si>
    <t>M.A. &amp; S.T. Adams</t>
  </si>
  <si>
    <t>3633700</t>
  </si>
  <si>
    <t>Store &amp; Warehouse</t>
  </si>
  <si>
    <t>404</t>
  </si>
  <si>
    <t>1974</t>
  </si>
  <si>
    <t>RStl</t>
  </si>
  <si>
    <t xml:space="preserve">Multi-tenant with two retail storefronts and a retail space on the rear with Beltline visibility. </t>
  </si>
  <si>
    <t>Center of building is warehouse for the retail units and surplus warehouse space available to lease.</t>
  </si>
  <si>
    <t>2003-016</t>
  </si>
  <si>
    <t>0708-131-0314-3</t>
  </si>
  <si>
    <t>6231 University Avenue</t>
  </si>
  <si>
    <t>P. Zimmerlee et al</t>
  </si>
  <si>
    <t>Landl Apts LLC</t>
  </si>
  <si>
    <t>3777261</t>
  </si>
  <si>
    <t>Apartments - 10 units</t>
  </si>
  <si>
    <t>R1 R5</t>
  </si>
  <si>
    <t>1970</t>
  </si>
  <si>
    <t>All units 1 Bedroom 1 Bathroom. Sisters owned adjacent 10 unit buildings, sold by Yanke a broker.</t>
  </si>
  <si>
    <t>Marketed by word of mouth with 5 offers within 1 week. Negotiated with 3 highest offers.</t>
  </si>
  <si>
    <t>2003-017</t>
  </si>
  <si>
    <t>0708-131-0315-1</t>
  </si>
  <si>
    <t>6235 University Avenue</t>
  </si>
  <si>
    <t>L Yanke et al</t>
  </si>
  <si>
    <t>3777260</t>
  </si>
  <si>
    <t>2003-018</t>
  </si>
  <si>
    <t>0609-022-0801-1</t>
  </si>
  <si>
    <t>3001 Perry Street</t>
  </si>
  <si>
    <t>M. Ross Menard</t>
  </si>
  <si>
    <t>Welton Properties LLC</t>
  </si>
  <si>
    <t>3634495</t>
  </si>
  <si>
    <t>Warehouse &amp; Office</t>
  </si>
  <si>
    <t>M1</t>
  </si>
  <si>
    <t>410</t>
  </si>
  <si>
    <t>1987</t>
  </si>
  <si>
    <t>Two buildings on sale parcel. 21,000 SF multi-tenant building fronting on Perry Street built in 1986</t>
  </si>
  <si>
    <t>has offices in front and warehouse shop space to the rear and 7 overhead doors. The second</t>
  </si>
  <si>
    <t xml:space="preserve">has 15,500 SF arrranged along the rear lot line, built in 1987 has 2 loading docks, less office finish. </t>
  </si>
  <si>
    <t>2003-019</t>
  </si>
  <si>
    <t>0709-353-0506-5</t>
  </si>
  <si>
    <t>995 Applegate Road</t>
  </si>
  <si>
    <t>L. D. Gander</t>
  </si>
  <si>
    <t>D. J . &amp; D. L. Jacob</t>
  </si>
  <si>
    <t>3634853</t>
  </si>
  <si>
    <t>1978</t>
  </si>
  <si>
    <t>CB</t>
  </si>
  <si>
    <t>One story with finished basement office.</t>
  </si>
  <si>
    <t>2003-020</t>
  </si>
  <si>
    <t>0709-353-0507-3</t>
  </si>
  <si>
    <t>1009 Applegate Road</t>
  </si>
  <si>
    <t>3634851</t>
  </si>
  <si>
    <t>Retail and Warehouse</t>
  </si>
  <si>
    <t>Stl</t>
  </si>
  <si>
    <t>Sherwin Williams Paint Store.  2,524 SF showroom;  7276 SF warehouse.</t>
  </si>
  <si>
    <t>2003-021</t>
  </si>
  <si>
    <t>0609-022-0207-1</t>
  </si>
  <si>
    <t>3103 Watford Way</t>
  </si>
  <si>
    <t>R. Rasmussen</t>
  </si>
  <si>
    <t>L. Gander</t>
  </si>
  <si>
    <t>3691940</t>
  </si>
  <si>
    <t>Warehouse</t>
  </si>
  <si>
    <t>349</t>
  </si>
  <si>
    <t>Rasmussen's business PBE Jobbers moved to T. Madison in 2002, and the property was marketed.</t>
  </si>
  <si>
    <t>Gander owns property in the area and negotiated a sale. Orig bldg 14,000 SF built in 1971;</t>
  </si>
  <si>
    <t>7,000 SF addition in 1995</t>
  </si>
  <si>
    <t>2003-022</t>
  </si>
  <si>
    <t>Vranas Group LLC</t>
  </si>
  <si>
    <t>3691942</t>
  </si>
  <si>
    <t xml:space="preserve">Gander owns property in the area and negotiated a sale. Gander was showing the property to a </t>
  </si>
  <si>
    <t>prospective tenant, who asked to purchase rather than rent, and a sale price was negotiated.</t>
  </si>
  <si>
    <t>Orig bldg 14,000 SF built in 1971; 7,000 SF addition in 1995.</t>
  </si>
  <si>
    <t>2003-023</t>
  </si>
  <si>
    <t>0710-153-0206-2</t>
  </si>
  <si>
    <t>2310 Daniels Street</t>
  </si>
  <si>
    <t>Jaeckle Properties Prtnship</t>
  </si>
  <si>
    <t>Louis D. Gander</t>
  </si>
  <si>
    <t>3759165</t>
  </si>
  <si>
    <t xml:space="preserve">Original building with 33,000 SF plus 3,350 SF mezzanine constructed in 1980.  7,500 SF addiiton in </t>
  </si>
  <si>
    <t xml:space="preserve">1988.  10,500 SF addition in 1992 and 2,500 SF addition in 1997.   There is also a 3,000 SF unheated </t>
  </si>
  <si>
    <t xml:space="preserve">pole building constructed in 1992.  5,350 SF of office space.  </t>
  </si>
  <si>
    <t>2003-024</t>
  </si>
  <si>
    <t>0709-262-1611-4</t>
  </si>
  <si>
    <t>914 South Brooks Street</t>
  </si>
  <si>
    <t>Paddock &amp; Herrling</t>
  </si>
  <si>
    <t>S.M. &amp; M.A. Grandt</t>
  </si>
  <si>
    <t>3638798</t>
  </si>
  <si>
    <t>1956</t>
  </si>
  <si>
    <t>All 2 Bedroom 1 Bath units</t>
  </si>
  <si>
    <t>2003-025</t>
  </si>
  <si>
    <t>0709-262-1709-7</t>
  </si>
  <si>
    <t>921 South Brooks Street</t>
  </si>
  <si>
    <t>P. Marunich &amp; R.A. Schoer</t>
  </si>
  <si>
    <t>3638724</t>
  </si>
  <si>
    <t>1957</t>
  </si>
  <si>
    <t>`</t>
  </si>
  <si>
    <t>All 2 Bedroom 1 Bath units. There is a one car detached garage of  424 SF.</t>
  </si>
  <si>
    <t>2003-026</t>
  </si>
  <si>
    <t>0708-144-0901-1</t>
  </si>
  <si>
    <t>7001 Old Sauk Road</t>
  </si>
  <si>
    <t>Atterbury Riley Prop LLC</t>
  </si>
  <si>
    <t>Diastema LLC</t>
  </si>
  <si>
    <t>3778191</t>
  </si>
  <si>
    <t>PUDSIP</t>
  </si>
  <si>
    <t>Originally M&amp;I Bank, it became surplus in a merger with Valley Bank, was sold to Atterbury  Riley</t>
  </si>
  <si>
    <t>Law Firm in 1999.  M&amp;I leases the drive up, which was negotiated as part of the 1999 sale. M&amp;I</t>
  </si>
  <si>
    <t xml:space="preserve">will continue to lease. The buyers own two adjacent parcels, for their two dental offices.  They </t>
  </si>
  <si>
    <t>approached sellers and negotiated the purchase.  Buyers bought 20,663 SF for parking in 6/1999.</t>
  </si>
  <si>
    <t>2003-027</t>
  </si>
  <si>
    <t>0709-222-3711-4</t>
  </si>
  <si>
    <t>11 North Allen Street</t>
  </si>
  <si>
    <t>Bowen Willmsn Zimmrmn</t>
  </si>
  <si>
    <t>Regent Investments LLC</t>
  </si>
  <si>
    <t>3694718</t>
  </si>
  <si>
    <t>LC</t>
  </si>
  <si>
    <t>Store &amp; Apartment</t>
  </si>
  <si>
    <t>C1 HIS-UH</t>
  </si>
  <si>
    <t>416</t>
  </si>
  <si>
    <t>1926</t>
  </si>
  <si>
    <t xml:space="preserve">Owner occupant BWZ Architects asked Mark Shulman of Regent Realty to list the property for  </t>
  </si>
  <si>
    <t>sale.  Shulman negotiated to buy, possibly to use for his office. Buyer said LC didn't affect sale price</t>
  </si>
  <si>
    <t>that it was an accommodation for sellers tax liability.  3 Bedroom apartment on second floor and a</t>
  </si>
  <si>
    <t>small office in the basement.  First floor retail space is  leased to Dancing Grounds Coffee shop.</t>
  </si>
  <si>
    <t>2003-028</t>
  </si>
  <si>
    <t>9925</t>
  </si>
  <si>
    <t>0709-324-1305-1</t>
  </si>
  <si>
    <t>4321 West Beltline Hwy</t>
  </si>
  <si>
    <t>Molitor Trust</t>
  </si>
  <si>
    <t>M3S Equity LLC</t>
  </si>
  <si>
    <t>3734363</t>
  </si>
  <si>
    <t>Store</t>
  </si>
  <si>
    <t>1979</t>
  </si>
  <si>
    <t>1996</t>
  </si>
  <si>
    <t>CB/Glass</t>
  </si>
  <si>
    <t>Bought in 1996 and remodeled in two halves for "Cost Cutters" office and a retail storefront. Seller</t>
  </si>
  <si>
    <t>H. Molitor, sold business, leased his space, retired to Florida. Broker approached tenant Winner's</t>
  </si>
  <si>
    <t>Circle Hair Restoration and negotiated the sale. LC didn't affect price, for seller's tax purposes.</t>
  </si>
  <si>
    <t>2003-029</t>
  </si>
  <si>
    <t>0708-252-0308-0</t>
  </si>
  <si>
    <t>6602 Grand Teton Plaza</t>
  </si>
  <si>
    <t xml:space="preserve">Medquist Transcriptions </t>
  </si>
  <si>
    <t>Grand Teton LLC</t>
  </si>
  <si>
    <t>3667448</t>
  </si>
  <si>
    <t>Ave-</t>
  </si>
  <si>
    <t>1977</t>
  </si>
  <si>
    <t xml:space="preserve">Former medical office, sold after two years of marketing, in 1997 for $732,600  to a medical </t>
  </si>
  <si>
    <t xml:space="preserve">transcription business.  Seller then marketed the property with a broker for 1 year.  The buyer is </t>
  </si>
  <si>
    <t>converting  the building to multi-tenant office.</t>
  </si>
  <si>
    <t>2003-030</t>
  </si>
  <si>
    <t>0809-364-0329-7</t>
  </si>
  <si>
    <t>2404 Calypso Road</t>
  </si>
  <si>
    <t>Wm. F. Statz Fam. Prtnship</t>
  </si>
  <si>
    <t>Gerald E. Kmiecik</t>
  </si>
  <si>
    <t>3683413</t>
  </si>
  <si>
    <t>1965</t>
  </si>
  <si>
    <t>FBrk/Alum</t>
  </si>
  <si>
    <t>All 2 bedroom, 1 bath units.</t>
  </si>
  <si>
    <t>2003-031</t>
  </si>
  <si>
    <t>0710-043-0918-6</t>
  </si>
  <si>
    <t>3737 Milwaukee Street</t>
  </si>
  <si>
    <t>FFCA/IIP 1986 Prop. Co.</t>
  </si>
  <si>
    <t>Mackesey Ent. Milw. St.</t>
  </si>
  <si>
    <t>3703932</t>
  </si>
  <si>
    <t>Restaurant</t>
  </si>
  <si>
    <t>253</t>
  </si>
  <si>
    <t>1981</t>
  </si>
  <si>
    <t>Purchaser is remodeling for a Popeye's fast food restaurant</t>
  </si>
  <si>
    <t>2003-032</t>
  </si>
  <si>
    <t>0810-302-1397-0</t>
  </si>
  <si>
    <t>1902 Northport Drive</t>
  </si>
  <si>
    <t xml:space="preserve">Mackesey Ent Northport </t>
  </si>
  <si>
    <t>3702787</t>
  </si>
  <si>
    <t>1982</t>
  </si>
  <si>
    <t>2003-033</t>
  </si>
  <si>
    <t>0710-061-1334-5</t>
  </si>
  <si>
    <t>2562 E. Johnson Street</t>
  </si>
  <si>
    <t>Gregg M. Pittman</t>
  </si>
  <si>
    <t>M.S.B. Holdings LLC</t>
  </si>
  <si>
    <t>3689245</t>
  </si>
  <si>
    <t>Shop</t>
  </si>
  <si>
    <t>C1</t>
  </si>
  <si>
    <t>299</t>
  </si>
  <si>
    <t>1928</t>
  </si>
  <si>
    <t>2000</t>
  </si>
  <si>
    <t>Vinyl/Wd</t>
  </si>
  <si>
    <t>Gas station with 320 SF, built in 1928.  In 1983, added 340 SF and converted building to office space.</t>
  </si>
  <si>
    <t>After 1998 sale, property was converted to a shop and 136 SF was added to the back of the building.</t>
  </si>
  <si>
    <t>2003-034</t>
  </si>
  <si>
    <t>0810-313-0091-6</t>
  </si>
  <si>
    <t>1001 N. Sherman Avenue</t>
  </si>
  <si>
    <t>Leroy G. Walsh MD</t>
  </si>
  <si>
    <t>JCAT LLC</t>
  </si>
  <si>
    <t>3777569</t>
  </si>
  <si>
    <t>Wd/stone</t>
  </si>
  <si>
    <t xml:space="preserve">Building originally constructed as a restaurant and store. Remodeled into medical office building in </t>
  </si>
  <si>
    <t xml:space="preserve">1982.  Purchaser plans to convert building to a dental clinic.  </t>
  </si>
  <si>
    <t>2003-035</t>
  </si>
  <si>
    <t>0708-271-0102-6</t>
  </si>
  <si>
    <t>406 Commerce Drive</t>
  </si>
  <si>
    <t>B Plus Investments II, LLC</t>
  </si>
  <si>
    <t>Jossy-Berg Family #2, LLC</t>
  </si>
  <si>
    <t>3804138</t>
  </si>
  <si>
    <t>Batteries Plus will continue to occupy on a long term lease.  The original building is 36 X 44 with an</t>
  </si>
  <si>
    <t>8 X 16 foot pole shed attached to the rear.</t>
  </si>
  <si>
    <t>2003-036</t>
  </si>
  <si>
    <t>0710-092-2408-2</t>
  </si>
  <si>
    <t>3830 Atwood Avenue</t>
  </si>
  <si>
    <t>Zingborn Ventures LLC</t>
  </si>
  <si>
    <t>3804674</t>
  </si>
  <si>
    <t>1976</t>
  </si>
  <si>
    <t xml:space="preserve">The grantor will continue to lease space in the building for awhile.  The grantee will occupy a </t>
  </si>
  <si>
    <t>portion of the building.</t>
  </si>
  <si>
    <t>2003-037</t>
  </si>
  <si>
    <t>0609-062-0206-9</t>
  </si>
  <si>
    <t>5726 Balsam Road</t>
  </si>
  <si>
    <t>H.T. Nguyen</t>
  </si>
  <si>
    <t>L.W. &amp; A.F. Stuart</t>
  </si>
  <si>
    <t>3735971</t>
  </si>
  <si>
    <t>Four - two bedroom one bath units and four - three bedroom 2 bath units.  Buyer feels he paid too</t>
  </si>
  <si>
    <t xml:space="preserve">much due to conditions that were not apparent to him at the time of sale.  In particular the roof </t>
  </si>
  <si>
    <t>needs to be replaced and leakage has caused considerable damage to several of the units.</t>
  </si>
  <si>
    <t>Building is "U" shaped and only the central portion has a basement.</t>
  </si>
  <si>
    <t>2003-038</t>
  </si>
  <si>
    <t>0810-313-0086-7</t>
  </si>
  <si>
    <t>1837 Aberg Avenue</t>
  </si>
  <si>
    <t>Heritage Fed. Credit Union</t>
  </si>
  <si>
    <t>Roger &amp; Ruth Westmont</t>
  </si>
  <si>
    <t>3720339</t>
  </si>
  <si>
    <t>C2 C3</t>
  </si>
  <si>
    <t>Ave +</t>
  </si>
  <si>
    <t>1968</t>
  </si>
  <si>
    <t>1998</t>
  </si>
  <si>
    <t>Stucco</t>
  </si>
  <si>
    <t>Also 0810-313-0078-4 (1825 Aberg Avenue), a 29,471 SF lot (inc. in lot SF)  and a 352 SF garage.</t>
  </si>
  <si>
    <t>The property was listed for sale and the purchaser paid the asking price.  The office building will be</t>
  </si>
  <si>
    <t>owner occupied.</t>
  </si>
  <si>
    <t>2003-039</t>
  </si>
  <si>
    <t>0710-091-1009-1</t>
  </si>
  <si>
    <t>4309 Neptune Court</t>
  </si>
  <si>
    <t>Doyle Rental Ent. LLC</t>
  </si>
  <si>
    <t>Best Design LLC</t>
  </si>
  <si>
    <t>3724400</t>
  </si>
  <si>
    <t>Warehouse &amp; shop</t>
  </si>
  <si>
    <t>1984</t>
  </si>
  <si>
    <t>Stl/FBrk</t>
  </si>
  <si>
    <t>2,967 SF of office &amp; shop constructed in 1984 with a 2,700 SF warehouse added in 1989.  There is</t>
  </si>
  <si>
    <t>1,832 SF of office space.  The property will be mostly owner occupied, with some lease shop area.</t>
  </si>
  <si>
    <t>2003-040</t>
  </si>
  <si>
    <t>0710-222-0602-5</t>
  </si>
  <si>
    <t>2701 Daniels Street</t>
  </si>
  <si>
    <t>Bel-Mart LLC etal</t>
  </si>
  <si>
    <t>Phylon LLP</t>
  </si>
  <si>
    <t>3736989</t>
  </si>
  <si>
    <t>Office &amp; warehouse</t>
  </si>
  <si>
    <t>2001</t>
  </si>
  <si>
    <t>Conc</t>
  </si>
  <si>
    <t>39,280 SF office and 18,080 SF of warehouse/print shop.  Property subject to a five year lease when</t>
  </si>
  <si>
    <t xml:space="preserve">constructed, but the tenant vacated after one month.  The tenant is still paying rent and the </t>
  </si>
  <si>
    <t>purchaser is trying to lease the property.</t>
  </si>
  <si>
    <t>2003-041</t>
  </si>
  <si>
    <t>0810-312-0101-5</t>
  </si>
  <si>
    <t>2121 N. Sherman Avenue</t>
  </si>
  <si>
    <t>Mark Gerhardt etal</t>
  </si>
  <si>
    <t>Joan M. Scheible</t>
  </si>
  <si>
    <t>3758502</t>
  </si>
  <si>
    <t>TD</t>
  </si>
  <si>
    <t>Office and apartment</t>
  </si>
  <si>
    <t>1940</t>
  </si>
  <si>
    <t>1966</t>
  </si>
  <si>
    <t>816 SF office on first floor and 1,336 SF three bedroom/one bath apartment on 2nd floor.</t>
  </si>
  <si>
    <t>Two car attached garage.</t>
  </si>
  <si>
    <t>2003-042</t>
  </si>
  <si>
    <t>0709-212-0703-5</t>
  </si>
  <si>
    <t>2733 University Ave</t>
  </si>
  <si>
    <t>John &amp; Roberta Early</t>
  </si>
  <si>
    <t>Jeffa LLC</t>
  </si>
  <si>
    <t>3805142</t>
  </si>
  <si>
    <t>Repair garage</t>
  </si>
  <si>
    <t>091</t>
  </si>
  <si>
    <t>RStl/FBrk</t>
  </si>
  <si>
    <t>Car Care Clinic 4 bays, one for a quick oil change operation.  According to Jeff Jensen, the buyer</t>
  </si>
  <si>
    <t>Land Contract did not affect price.</t>
  </si>
  <si>
    <t>2003-043</t>
  </si>
  <si>
    <t>0609-052-0503-0</t>
  </si>
  <si>
    <t>2201 &amp; 2211 Allied Dr</t>
  </si>
  <si>
    <t>Gilson Enterprises LLP</t>
  </si>
  <si>
    <t>SDR Enterprises II LLC</t>
  </si>
  <si>
    <t>3707099</t>
  </si>
  <si>
    <t>Apartments - 16 units</t>
  </si>
  <si>
    <t>1963</t>
  </si>
  <si>
    <t>Sale of two adjacent 8-unit apartment buildings.  Includes 0609-052-0504-8; 2211 Allied Dr.</t>
  </si>
  <si>
    <t>All 2 Bedroom 1 Bath units.  Each building 7,030 SF PFA; 10,545 SF GFA;</t>
  </si>
  <si>
    <t>17,264 SF lot area for 0503-0 and 18,054 SF lot area for 0504-8.</t>
  </si>
  <si>
    <t>2003-044</t>
  </si>
  <si>
    <t>0710-162-0704-7</t>
  </si>
  <si>
    <t>4602 Monona Drive</t>
  </si>
  <si>
    <t>Cira Vitale etal</t>
  </si>
  <si>
    <t>Hung T. Nguyen</t>
  </si>
  <si>
    <t>3760456</t>
  </si>
  <si>
    <t>Retail &amp; mini warehouse</t>
  </si>
  <si>
    <t>CB/Brk/Wd</t>
  </si>
  <si>
    <t>Also 06-3.  14,800 shopping center, constructed in two phases.  7,000 SF built in 1960 and</t>
  </si>
  <si>
    <t xml:space="preserve">7,800 SF built in 1981.  Mini warehouse building with 2,600 SF built in 1997.  </t>
  </si>
  <si>
    <t>2003-045</t>
  </si>
  <si>
    <t>0609-052-0512-1</t>
  </si>
  <si>
    <t>2110 Rosenberry Rd</t>
  </si>
  <si>
    <t>M. Holcomb</t>
  </si>
  <si>
    <t>3691366</t>
  </si>
  <si>
    <t>1964</t>
  </si>
  <si>
    <t>2003-046</t>
  </si>
  <si>
    <t>0609-052-0413-1</t>
  </si>
  <si>
    <t>2202 Allied Dr</t>
  </si>
  <si>
    <t>T. &amp; M. Thao</t>
  </si>
  <si>
    <t>S. &amp; G. Vang</t>
  </si>
  <si>
    <t>3683763</t>
  </si>
  <si>
    <t>2003-047</t>
  </si>
  <si>
    <t>9935</t>
  </si>
  <si>
    <t>0709-144-1023-1</t>
  </si>
  <si>
    <t>620 N. Carroll St.</t>
  </si>
  <si>
    <t>Villa East Partnership</t>
  </si>
  <si>
    <t>Mendota Lakeshore Apt LLC</t>
  </si>
  <si>
    <t>3643420</t>
  </si>
  <si>
    <t>Apartments - 50 units</t>
  </si>
  <si>
    <t>R6H</t>
  </si>
  <si>
    <t>1971</t>
  </si>
  <si>
    <t>Fbrk</t>
  </si>
  <si>
    <t>7</t>
  </si>
  <si>
    <t>Built as dormitory, converted to apt building in 1971. Has lake frontage. Part of basement is finished</t>
  </si>
  <si>
    <t>with office. Parking for 9 cars.</t>
  </si>
  <si>
    <t>2003-048</t>
  </si>
  <si>
    <t>0709-144-1022-3</t>
  </si>
  <si>
    <t>616 N. Carroll St.</t>
  </si>
  <si>
    <t>Carrollon Partnership</t>
  </si>
  <si>
    <t>3643418</t>
  </si>
  <si>
    <t>Apartments - 43 units</t>
  </si>
  <si>
    <t>8</t>
  </si>
  <si>
    <t>28 Efficiency units, 14 one bed units, 1 two bed unit. Irregular site with narrow strip providing 26 of</t>
  </si>
  <si>
    <t xml:space="preserve"> feet of lake frontage.</t>
  </si>
  <si>
    <t>2003-049</t>
  </si>
  <si>
    <t>9911</t>
  </si>
  <si>
    <t>0710-053-0720-4</t>
  </si>
  <si>
    <t>2732 Atwood Avenue</t>
  </si>
  <si>
    <t>James A. Maierhofer</t>
  </si>
  <si>
    <t>John H. Amundson</t>
  </si>
  <si>
    <t>3633665</t>
  </si>
  <si>
    <t>1915</t>
  </si>
  <si>
    <t>48 SF shed not included in PFA or GFA (no foundation).  Purchaser owns other property on this</t>
  </si>
  <si>
    <t>block and purchased to hold for future redevelopment (he estimates 10 to 15 year holding period).</t>
  </si>
  <si>
    <t>For the short term will be used as an investment property.  Has leased property since purchase.</t>
  </si>
  <si>
    <t>2003-050</t>
  </si>
  <si>
    <t>0710-064-1418-1</t>
  </si>
  <si>
    <t>2044 Atwood Avenue</t>
  </si>
  <si>
    <t>2044 Group, LLC</t>
  </si>
  <si>
    <t>Atwood Ave. Investments</t>
  </si>
  <si>
    <t>3657219</t>
  </si>
  <si>
    <t>Restaurant &amp; offices</t>
  </si>
  <si>
    <t>420</t>
  </si>
  <si>
    <t>1927</t>
  </si>
  <si>
    <t xml:space="preserve">First floor restaurant and second floor offices.  Building fully leased at time of purchase.  </t>
  </si>
  <si>
    <t>2003-051</t>
  </si>
  <si>
    <t>0709-353-0220-1</t>
  </si>
  <si>
    <t>1026 Ann Street</t>
  </si>
  <si>
    <t>VTM Associates</t>
  </si>
  <si>
    <t>BGA Investments LLC</t>
  </si>
  <si>
    <t>3724408</t>
  </si>
  <si>
    <t>Store and Warehouse</t>
  </si>
  <si>
    <t>1990</t>
  </si>
  <si>
    <t>CB/EIFS</t>
  </si>
  <si>
    <t>Sale of two adjacent parcels, includes 0709-353-0221-9 which is used as fenced storage yard.</t>
  </si>
  <si>
    <t>Built in 1990 by sellers for United Rentals, a  heavy equiptment rental supplier for contractors.</t>
  </si>
  <si>
    <t xml:space="preserve">20 year TN lease, with two 5 yr renewals.  Building has 3,332 SF showroom, counterspace and </t>
  </si>
  <si>
    <t>offices.  There is 7,440 SF of shop/warehouse space with a wash bay and a 1,445 SF mezzanine.</t>
  </si>
  <si>
    <t>2003-052</t>
  </si>
  <si>
    <t>0709-144-1813-6</t>
  </si>
  <si>
    <t>150 W. Gorham St.</t>
  </si>
  <si>
    <t>Ridgeview Inv of Mad LLP</t>
  </si>
  <si>
    <t>Joshua V Langlois</t>
  </si>
  <si>
    <t>3718257</t>
  </si>
  <si>
    <t>Apartments - 14 units</t>
  </si>
  <si>
    <t>1918</t>
  </si>
  <si>
    <t>Brk</t>
  </si>
  <si>
    <t xml:space="preserve">14 three bedroom units, originally built as 2 bed units, later converted to 3 bed units, partially </t>
  </si>
  <si>
    <t xml:space="preserve">exposed basement has 2 units </t>
  </si>
  <si>
    <t>2003-053</t>
  </si>
  <si>
    <t>0710-052-0203-2</t>
  </si>
  <si>
    <t>3066 E. Washington Ave.</t>
  </si>
  <si>
    <t>Jeffrey A. Mulhern</t>
  </si>
  <si>
    <t>Christopher L. Zabrowski</t>
  </si>
  <si>
    <t>3677563</t>
  </si>
  <si>
    <t>095</t>
  </si>
  <si>
    <t>Former gas station.  Pumps have been removed and site cleaned-up.  Have DNR closure letter.</t>
  </si>
  <si>
    <t>600 SF of shop and 1,425 SF of office/storage areas.</t>
  </si>
  <si>
    <t>2003-054</t>
  </si>
  <si>
    <t>0710-153-0211-1</t>
  </si>
  <si>
    <t>2301 Advance Road</t>
  </si>
  <si>
    <t>Cunnally Real Estate LLC</t>
  </si>
  <si>
    <t>Hang-em Clean, Inc.</t>
  </si>
  <si>
    <t>3661540</t>
  </si>
  <si>
    <t>Office and warehouse</t>
  </si>
  <si>
    <t>1,920 SF office and 10,100 SF warehouse.</t>
  </si>
  <si>
    <t>2003-055</t>
  </si>
  <si>
    <t>0708-234-1002-5</t>
  </si>
  <si>
    <t>301 S Westfield Rd</t>
  </si>
  <si>
    <t>Telephone &amp; Data Sys Inc</t>
  </si>
  <si>
    <t>301 Westfield Rd LLC</t>
  </si>
  <si>
    <t>3829795</t>
  </si>
  <si>
    <t>FBrk/Glass</t>
  </si>
  <si>
    <t>Owner Occ. office for TDS. They moved to 525 Junction Rd. consolidating several properties</t>
  </si>
  <si>
    <t>Buyer T Wall, is the landlord for the new office, and marketed the Chorus property for TDS. They</t>
  </si>
  <si>
    <t>negotiated with TDS to buy rather than broker the sale property. Built into the grade, there are 2</t>
  </si>
  <si>
    <t xml:space="preserve">stories at the front or west and 3 stories to the east.  83,040 SF blt in 1986 added 24,792 SF in 1990  </t>
  </si>
  <si>
    <t>2003-056</t>
  </si>
  <si>
    <t>0710-053-4601-2</t>
  </si>
  <si>
    <t>2929 Atwood Avenue</t>
  </si>
  <si>
    <t>2929 Atwood Ave. LLC</t>
  </si>
  <si>
    <t>Purple Green Prop. LLC</t>
  </si>
  <si>
    <t>3830626</t>
  </si>
  <si>
    <t>Office - condominium</t>
  </si>
  <si>
    <t>720</t>
  </si>
  <si>
    <t>2002</t>
  </si>
  <si>
    <t>Purchased for income potential.  Fully leased at the time of purchase.</t>
  </si>
  <si>
    <t>2003-057</t>
  </si>
  <si>
    <t>0710-052-0618-3</t>
  </si>
  <si>
    <t>401 North Lawn Avenue</t>
  </si>
  <si>
    <t>Early Childhood Lrng. Cnt.</t>
  </si>
  <si>
    <t>Wis. Taxpayer Alliance</t>
  </si>
  <si>
    <t>3828471</t>
  </si>
  <si>
    <t>CD</t>
  </si>
  <si>
    <t>Church/Day Care/Office</t>
  </si>
  <si>
    <t>034</t>
  </si>
  <si>
    <t>Brick</t>
  </si>
  <si>
    <t>Wood</t>
  </si>
  <si>
    <t xml:space="preserve">Former church converted to daycare center.  Purchaser will convert the building to office.  The </t>
  </si>
  <si>
    <t xml:space="preserve">property was listed by realtor.  Three offers on property, two at the asking price. </t>
  </si>
  <si>
    <t>2003-058</t>
  </si>
  <si>
    <t>0708-252-0703-2</t>
  </si>
  <si>
    <t>6625 Odana Rd</t>
  </si>
  <si>
    <t>Msn Hospitlty Prtnrs LLC</t>
  </si>
  <si>
    <t>Star Investments Co.</t>
  </si>
  <si>
    <t>3840966</t>
  </si>
  <si>
    <t>1985</t>
  </si>
  <si>
    <t>Built in 1982 as two separate retail buildings.  The buildings were combined in 1985.</t>
  </si>
  <si>
    <t>2003-059</t>
  </si>
  <si>
    <t>0709-353-0520-5</t>
  </si>
  <si>
    <t>902 Jonathon Drive</t>
  </si>
  <si>
    <t>Tim J Stanek</t>
  </si>
  <si>
    <t>Meriter Hospital Inc.</t>
  </si>
  <si>
    <t>3650756</t>
  </si>
  <si>
    <t>Built 9,338 SF in 1960; added 4,408 SF in 1977.</t>
  </si>
  <si>
    <t>2003-060</t>
  </si>
  <si>
    <t>0810-331-0317-8</t>
  </si>
  <si>
    <t>4271 Lien Road</t>
  </si>
  <si>
    <t>Wanamaker 29 LC</t>
  </si>
  <si>
    <t>Madison Investments LLC</t>
  </si>
  <si>
    <t>3840463</t>
  </si>
  <si>
    <t>Stores</t>
  </si>
  <si>
    <t>2003</t>
  </si>
  <si>
    <t>Purchased for income potential.  Fully leased at the time of purchase.  Tenants are Michael's and</t>
  </si>
  <si>
    <t>Bed, Bath &amp; Beyond</t>
  </si>
  <si>
    <t>2003-061</t>
  </si>
  <si>
    <t>0709-264-0804-2</t>
  </si>
  <si>
    <t>1501 South Park Street</t>
  </si>
  <si>
    <t>Pullara &amp; Mazzara</t>
  </si>
  <si>
    <t>Laughlin Realty Inc</t>
  </si>
  <si>
    <t>3841414</t>
  </si>
  <si>
    <t>5 Bay Midas Muffler Garage.  LC did not affect sale price.</t>
  </si>
  <si>
    <t>2003-062</t>
  </si>
  <si>
    <t>9937</t>
  </si>
  <si>
    <t>0709-134-0120-7</t>
  </si>
  <si>
    <t>1054 Williamson Street</t>
  </si>
  <si>
    <t>Ronald Standish</t>
  </si>
  <si>
    <t>Scott Lewis</t>
  </si>
  <si>
    <t>3680034</t>
  </si>
  <si>
    <t>Apartment &amp; Store</t>
  </si>
  <si>
    <t>1910</t>
  </si>
  <si>
    <t>2 two bedroom apts on 2nd floor, one vacant at time of sale. 1998 exterior brick and foundation</t>
  </si>
  <si>
    <t>repairs.  Interior needs work.</t>
  </si>
  <si>
    <t>2003-063</t>
  </si>
  <si>
    <t>0709-134-0618-2</t>
  </si>
  <si>
    <t>901 Williamson Street</t>
  </si>
  <si>
    <t>August Bauer</t>
  </si>
  <si>
    <t>3828215</t>
  </si>
  <si>
    <t>First floor has retail space with approx 600 sqft shop space w/two overhead doors.  Second floor</t>
  </si>
  <si>
    <t>has 2 one bed aptartment and 1 two bedroom apartment. LC did not affect sale price.</t>
  </si>
  <si>
    <t>2003-064</t>
  </si>
  <si>
    <t>9936</t>
  </si>
  <si>
    <t>0709-231-2003-7</t>
  </si>
  <si>
    <t>222 S Hamilton Street</t>
  </si>
  <si>
    <t>Charlotte Stein</t>
  </si>
  <si>
    <t>Romanov Holding LLC</t>
  </si>
  <si>
    <t>3666372</t>
  </si>
  <si>
    <t>First floor only partially exposed (est 75% of GFA is PFA). Parking for 6 cars. Trialgular corner lot.</t>
  </si>
  <si>
    <t>Building more than half empty at time of sale.</t>
  </si>
  <si>
    <t>2003-065</t>
  </si>
  <si>
    <t>0709-131-0708-7</t>
  </si>
  <si>
    <t>1240 E Washington Ave</t>
  </si>
  <si>
    <t>L M &amp; Q LLC</t>
  </si>
  <si>
    <t>David &amp; Cherie LLC</t>
  </si>
  <si>
    <t>3843658</t>
  </si>
  <si>
    <t>301</t>
  </si>
  <si>
    <t>432 sqft office space. Parking for about 20 cars.  Listed sale price is for real estate only. Grantee</t>
  </si>
  <si>
    <t>also bought business and equiipment on separate transaction.</t>
  </si>
  <si>
    <t>2003-066</t>
  </si>
  <si>
    <t>0709-131-0910-8</t>
  </si>
  <si>
    <t>1116 E Mifflin Street</t>
  </si>
  <si>
    <t>Harry Field</t>
  </si>
  <si>
    <t>Danny Martinson</t>
  </si>
  <si>
    <t>3833997</t>
  </si>
  <si>
    <t>All 1 bedroom 1 bath units. Parking for 9 cars.  Rents below market at sale, will raise in spring.</t>
  </si>
  <si>
    <t>2003-067</t>
  </si>
  <si>
    <t>0710-053-3602-1</t>
  </si>
  <si>
    <t>2725 Atwood Avenue</t>
  </si>
  <si>
    <t>Van Horn Fam. Ltd Prtnshp</t>
  </si>
  <si>
    <t>K. Koeppler &amp; J. Doering</t>
  </si>
  <si>
    <t>3837347</t>
  </si>
  <si>
    <t>Store &amp; apartment</t>
  </si>
  <si>
    <t>1911</t>
  </si>
  <si>
    <t>1992</t>
  </si>
  <si>
    <t>FBrk/stucco</t>
  </si>
  <si>
    <t xml:space="preserve">Property listed by realtor.  Asking price was $280,000.  Property was vacant for several months </t>
  </si>
  <si>
    <t xml:space="preserve">prior to purchase.  Three bedroom/one bath apartment on second floor.  540 SF garage/carriage </t>
  </si>
  <si>
    <t>house at rear of lot is included in the GFA.</t>
  </si>
  <si>
    <t>2003-068</t>
  </si>
  <si>
    <t>0809-364-0203-3</t>
  </si>
  <si>
    <t>1517 Trailsway</t>
  </si>
  <si>
    <t>PMM LLC</t>
  </si>
  <si>
    <t>3837205</t>
  </si>
  <si>
    <t>1961</t>
  </si>
  <si>
    <t xml:space="preserve">All units have 2 bedrooms and one bath.  Building faces park.  </t>
  </si>
  <si>
    <t>2003-069</t>
  </si>
  <si>
    <t>0710-153-0216-1</t>
  </si>
  <si>
    <t>4709 Helgesen Drive</t>
  </si>
  <si>
    <t>William G. Walkington</t>
  </si>
  <si>
    <t>James E. Renda</t>
  </si>
  <si>
    <t>3837566</t>
  </si>
  <si>
    <t>Warehouse/office</t>
  </si>
  <si>
    <t xml:space="preserve">2,400 SF constructed in 1985 with a 3,300 SF addition in 1986.  1,808 SF of office area.  Sale to </t>
  </si>
  <si>
    <t>tenant.  Sale price negotiated and arm's length.</t>
  </si>
  <si>
    <t>2003-070</t>
  </si>
  <si>
    <t>0709-232-2925-1</t>
  </si>
  <si>
    <t>640 W Washington Ave</t>
  </si>
  <si>
    <t>Alexander Historic Depot</t>
  </si>
  <si>
    <t>Capitol Depot LLC</t>
  </si>
  <si>
    <t>3704976</t>
  </si>
  <si>
    <t>Office &amp; Retail</t>
  </si>
  <si>
    <t>411</t>
  </si>
  <si>
    <t>1903</t>
  </si>
  <si>
    <t>2 buildings and 5 converted rail cars.  Building 1 has 10,768 sqft, building 2 has 3,200 sqft, rail cars</t>
  </si>
  <si>
    <t xml:space="preserve">have 425 to 1,000 sqft. At time of sale 1000 sqft in main building vacant and +/-2000 sqft in the rail </t>
  </si>
  <si>
    <t>cars was vacant.</t>
  </si>
  <si>
    <t>2003-071</t>
  </si>
  <si>
    <t>9931</t>
  </si>
  <si>
    <t>0709-144-2004-0</t>
  </si>
  <si>
    <t>227 Langdon Street</t>
  </si>
  <si>
    <t>Langdon 250 LLC</t>
  </si>
  <si>
    <t>James Corcoran</t>
  </si>
  <si>
    <t>3761524</t>
  </si>
  <si>
    <t>R6</t>
  </si>
  <si>
    <t>8 one bedroom units, 1 two bedroom units, 5 three bed - 2 bath units.  Two bedroom unit is in</t>
  </si>
  <si>
    <t xml:space="preserve">exposed lower level. Parking for 7 cars. </t>
  </si>
  <si>
    <t>2003-073</t>
  </si>
  <si>
    <t>0710-053-4602-0</t>
  </si>
  <si>
    <t>2929 Atwood Ave., LLC</t>
  </si>
  <si>
    <t>Firefly Properties, LLC</t>
  </si>
  <si>
    <t>3843465</t>
  </si>
  <si>
    <t>Retail - Condominium</t>
  </si>
  <si>
    <t xml:space="preserve">The interior was unfinished at the time of purchase.  After the purchase, the tenant installed the </t>
  </si>
  <si>
    <t>interior walls, flooring and plumbing.</t>
  </si>
  <si>
    <t>2003-075</t>
  </si>
  <si>
    <t>9932</t>
  </si>
  <si>
    <t>0709-242-1604-1</t>
  </si>
  <si>
    <t>120 Martin Luther King #4</t>
  </si>
  <si>
    <t>Continental 93 Fund LLC</t>
  </si>
  <si>
    <t>Justice Center LLC</t>
  </si>
  <si>
    <t>3827809</t>
  </si>
  <si>
    <t>C4</t>
  </si>
  <si>
    <t>Stone</t>
  </si>
  <si>
    <t>3 separate retail spaces</t>
  </si>
  <si>
    <t>2003-076</t>
  </si>
  <si>
    <t>0709-242-1601-7</t>
  </si>
  <si>
    <t>121 Martin Luther King #1</t>
  </si>
  <si>
    <t>3827812</t>
  </si>
  <si>
    <t>Parking - Condominium</t>
  </si>
  <si>
    <t>740</t>
  </si>
  <si>
    <t>31 underground parking stalls. Grantee owns properties adjacent to Justice Center, purchased</t>
  </si>
  <si>
    <t>to get parking for those properties.  24 spaces are leased to M &amp; I on long term lease.</t>
  </si>
  <si>
    <t>2003-077</t>
  </si>
  <si>
    <t>0710-153-0089-2</t>
  </si>
  <si>
    <t>4514 Pflaum Road</t>
  </si>
  <si>
    <t>Community Wheels Inc.</t>
  </si>
  <si>
    <t>Gregory &amp; Bobbie Belin</t>
  </si>
  <si>
    <t>3838009</t>
  </si>
  <si>
    <t>Ave+</t>
  </si>
  <si>
    <t>Vinyl/CB</t>
  </si>
  <si>
    <t>2003-078</t>
  </si>
  <si>
    <t>9933</t>
  </si>
  <si>
    <t>0709-242-0122-4</t>
  </si>
  <si>
    <t>131 W Wilson St</t>
  </si>
  <si>
    <t>Capitol Indemnity Corp</t>
  </si>
  <si>
    <t>Greg Rice</t>
  </si>
  <si>
    <t>3782023</t>
  </si>
  <si>
    <t>12</t>
  </si>
  <si>
    <t>Property has undergone significant renovation 1997-1999 including roof, windows, HVAC,</t>
  </si>
  <si>
    <t>renovate ramp, refurbish interior.  Has 3 level parking ramp below building with about 200 stalls.</t>
  </si>
  <si>
    <t>2003-079</t>
  </si>
  <si>
    <t>0709-232-0108-5</t>
  </si>
  <si>
    <t>433 W Gilman St</t>
  </si>
  <si>
    <t>Keith Syvrud</t>
  </si>
  <si>
    <t>Fisher Construction Inc</t>
  </si>
  <si>
    <t>3690835</t>
  </si>
  <si>
    <t>Apartments - 20 units</t>
  </si>
  <si>
    <t>11</t>
  </si>
  <si>
    <t>1916</t>
  </si>
  <si>
    <t>4</t>
  </si>
  <si>
    <t>2 one-bedroom units, 2 two-bedroom units, 14 three-bedroom units and 2 four-bedroom units.</t>
  </si>
  <si>
    <t xml:space="preserve">Half of units are dated, the other half are somewhat updated. The roof is in poor condition.  New </t>
  </si>
  <si>
    <t>furnaces were installed on each floor about 3 years ago.</t>
  </si>
  <si>
    <t>2003-080</t>
  </si>
  <si>
    <t>0709-144-2112-1</t>
  </si>
  <si>
    <t>434 State St</t>
  </si>
  <si>
    <t>Biagio Gargano</t>
  </si>
  <si>
    <t>432 State LLC</t>
  </si>
  <si>
    <t>3806027</t>
  </si>
  <si>
    <t>Retail &amp; Apartments</t>
  </si>
  <si>
    <t>1899</t>
  </si>
  <si>
    <t>2 two-bedroom units on second floor.</t>
  </si>
  <si>
    <t>2003-081</t>
  </si>
  <si>
    <t>0709-133-3007-6</t>
  </si>
  <si>
    <t>25 N Pinckney St</t>
  </si>
  <si>
    <t>Karen Piper</t>
  </si>
  <si>
    <t>Crescent LLC</t>
  </si>
  <si>
    <t>3777891</t>
  </si>
  <si>
    <t>Restaurant &amp; office</t>
  </si>
  <si>
    <t>421</t>
  </si>
  <si>
    <t>1893</t>
  </si>
  <si>
    <t>Café on 1 floor, restaurant on 2nd floor, office on 3rd floor. Land Contract did not affect price.</t>
  </si>
  <si>
    <t>2003-082</t>
  </si>
  <si>
    <t>0709-231-1104-4</t>
  </si>
  <si>
    <t>31 S Henry St</t>
  </si>
  <si>
    <t>WHEDA</t>
  </si>
  <si>
    <t>The Collegiate LLC</t>
  </si>
  <si>
    <t>3727067</t>
  </si>
  <si>
    <t>Basement is exposed and is considered in PFA.  Basement and first floor have been used as a</t>
  </si>
  <si>
    <t>business school in the past (wide hallways, classrooms and hall lockers). The second floor was used</t>
  </si>
  <si>
    <t>as office.  Corner site and no onsite parking.</t>
  </si>
  <si>
    <t>2003-083</t>
  </si>
  <si>
    <t>0710-053-4614-5</t>
  </si>
  <si>
    <t>D. &amp; K. Coleman</t>
  </si>
  <si>
    <t>3854174</t>
  </si>
  <si>
    <t>The interior was partially unfinished at the time of purchase.  After the purchase, the owner</t>
  </si>
  <si>
    <t>installed the interior walls and  flooring at a cost of approximately $14,000.</t>
  </si>
  <si>
    <t>2003-084</t>
  </si>
  <si>
    <t>0710-064-1409-0</t>
  </si>
  <si>
    <t>2057 Winnebago Street</t>
  </si>
  <si>
    <t>M Lorenzi &amp; L Rhodehamel</t>
  </si>
  <si>
    <t>Rutledge Comp. Lab LLC</t>
  </si>
  <si>
    <t>3852136</t>
  </si>
  <si>
    <t>1930</t>
  </si>
  <si>
    <t>Stl/MLB</t>
  </si>
  <si>
    <t xml:space="preserve">The grantee is the father of the building's tenant.  The original building has 2,310 SF with 396 SF of </t>
  </si>
  <si>
    <t>office.  An addition with 2,178 SF was added in 1968.</t>
  </si>
  <si>
    <t>2003-085</t>
  </si>
  <si>
    <t>0810-311-0398-0</t>
  </si>
  <si>
    <t>1802 Pankratz Street</t>
  </si>
  <si>
    <t>Corben Building B LLC</t>
  </si>
  <si>
    <t>RMD Corben LLC</t>
  </si>
  <si>
    <t>3848652</t>
  </si>
  <si>
    <t>QC</t>
  </si>
  <si>
    <t>Stl/CB</t>
  </si>
  <si>
    <t>Building on land leased from the Dane County Airport.  The sale price includes the land lease and</t>
  </si>
  <si>
    <t xml:space="preserve">the improvements.  </t>
  </si>
  <si>
    <t>2003-086</t>
  </si>
  <si>
    <t>0710-072-2527-2</t>
  </si>
  <si>
    <t>1354 Williamson Street</t>
  </si>
  <si>
    <t>Yahara Builders</t>
  </si>
  <si>
    <t>Restoration Homes</t>
  </si>
  <si>
    <t>3707192</t>
  </si>
  <si>
    <t>1904</t>
  </si>
  <si>
    <t>The building was remodeled after purchase into two residential and one commercial condominiums.</t>
  </si>
  <si>
    <t>(the photo was taken after building and been remodeled)</t>
  </si>
  <si>
    <t>2003-087</t>
  </si>
  <si>
    <t>0709-133-0304-9</t>
  </si>
  <si>
    <t>701 E Washington Ave</t>
  </si>
  <si>
    <t>Thomas Bosben</t>
  </si>
  <si>
    <t>701 E Washington Ave LLC</t>
  </si>
  <si>
    <t>3636136</t>
  </si>
  <si>
    <t>1917</t>
  </si>
  <si>
    <t>There are two buildings on this parcel.  The second building is a 1072 square foot house (house is</t>
  </si>
  <si>
    <t>not included in PFA)</t>
  </si>
  <si>
    <t>2003-088</t>
  </si>
  <si>
    <t>0709-352-0301-1</t>
  </si>
  <si>
    <t>837 Hughes Place</t>
  </si>
  <si>
    <t>L. Crotty</t>
  </si>
  <si>
    <t>C. &amp; M. Xiong</t>
  </si>
  <si>
    <t>3837570</t>
  </si>
  <si>
    <t>All 2 bedroom 1 bath units.</t>
  </si>
  <si>
    <t>2003-089</t>
  </si>
  <si>
    <t>0709-363-0316-7</t>
  </si>
  <si>
    <t>415 Moorland Road</t>
  </si>
  <si>
    <t>T.L. Pogodzinski</t>
  </si>
  <si>
    <t>Kingswood Terrace LLC</t>
  </si>
  <si>
    <t>3856547</t>
  </si>
  <si>
    <t>Apartments - 140 units</t>
  </si>
  <si>
    <t>R3R4</t>
  </si>
  <si>
    <t>1969</t>
  </si>
  <si>
    <t>FBrk/Stucco</t>
  </si>
  <si>
    <t xml:space="preserve">12 apartment buildings and a clubhouse.  There are 40 one-bedroom units, </t>
  </si>
  <si>
    <t>84 two-bedroom units and 16 three-bedroom townhouse units.</t>
  </si>
  <si>
    <t>2003-090</t>
  </si>
  <si>
    <t>0709-323-0095-1</t>
  </si>
  <si>
    <t>4601 Verona Road</t>
  </si>
  <si>
    <t>Fred Benz Inv Inc</t>
  </si>
  <si>
    <t>Capitol One RE LLC</t>
  </si>
  <si>
    <t>3860291</t>
  </si>
  <si>
    <t>Gas Mart</t>
  </si>
  <si>
    <t>281</t>
  </si>
  <si>
    <t>1967</t>
  </si>
  <si>
    <t>Steel Panel</t>
  </si>
  <si>
    <t>Former 3 bay Mobil gas station converted to a Mobil Mart convenience store.</t>
  </si>
  <si>
    <t xml:space="preserve">Big Mike's Subs leases approximately 540 SF for a drive-up. There is a 6 foot storage shed on the </t>
  </si>
  <si>
    <t xml:space="preserve">rear of the builing 200 SF included in GFA. </t>
  </si>
  <si>
    <t>2003-091</t>
  </si>
  <si>
    <t>0708-252-0401-2</t>
  </si>
  <si>
    <t>6905 Odana Road</t>
  </si>
  <si>
    <t>Malan KMSC LLC</t>
  </si>
  <si>
    <t>Westland Plaza LLC</t>
  </si>
  <si>
    <t>3883539</t>
  </si>
  <si>
    <t>Big Box &amp; Shopping Ctr</t>
  </si>
  <si>
    <t>Seller built Kmart and adj. Westland Plaza. Includes 0708-252-0419-5 Westland Plaza 32,045 SF</t>
  </si>
  <si>
    <t>and 0421-0 ground leased to Burger King, 3,227 SF.  BK imps not inc in PFA &amp; GFA.  Kmart</t>
  </si>
  <si>
    <t xml:space="preserve">subleased their 97,791 SF bigbox to Burlington Coat at $2.73/SF NNN.  Buyer's main </t>
  </si>
  <si>
    <t>motivation was to build a JoAnn Fabric store on part of Westland Plaza.</t>
  </si>
  <si>
    <t>2003-092</t>
  </si>
  <si>
    <t>0709-344-0307-6</t>
  </si>
  <si>
    <t>1217 Applegate Road</t>
  </si>
  <si>
    <t>Ahrens Cadillac-Oldsmobile, Inc.</t>
  </si>
  <si>
    <t>Bergstrom Cadillac-Hummer, Inc.</t>
  </si>
  <si>
    <t>3634873</t>
  </si>
  <si>
    <t>Car Dealership</t>
  </si>
  <si>
    <t>093</t>
  </si>
  <si>
    <t>Stucco/Stl</t>
  </si>
  <si>
    <t>Sale included 6 other parcels: 0090-7, 0092-3, 0309-2, 0310-9, 0311-7 and 0709-353-0609-7.</t>
  </si>
  <si>
    <t>1964-1996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</si>
</sst>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&quot;$&quot;#,##0.00"/>
    <numFmt numFmtId="167" formatCode="_(* #,##0_);_(* \(#,##0\);_(* &quot;-&quot;??_);_(@_)"/>
    <numFmt numFmtId="168" formatCode="0_)"/>
    <numFmt numFmtId="169" formatCode="&quot;$&quot;#,##0.0"/>
    <numFmt numFmtId="170" formatCode="[$$-C09]#,##0.00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"/>
      <family val="0"/>
    </font>
    <font>
      <sz val="10"/>
      <name val="CG 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7" fontId="2" fillId="0" borderId="0" xfId="15" applyNumberFormat="1" applyFont="1" applyAlignment="1">
      <alignment/>
    </xf>
    <xf numFmtId="166" fontId="2" fillId="0" borderId="0" xfId="17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right"/>
    </xf>
    <xf numFmtId="167" fontId="2" fillId="0" borderId="2" xfId="15" applyNumberFormat="1" applyFont="1" applyBorder="1" applyAlignment="1">
      <alignment/>
    </xf>
    <xf numFmtId="166" fontId="2" fillId="0" borderId="3" xfId="17" applyNumberFormat="1" applyFont="1" applyBorder="1" applyAlignment="1">
      <alignment/>
    </xf>
    <xf numFmtId="165" fontId="2" fillId="0" borderId="0" xfId="17" applyNumberFormat="1" applyFont="1" applyAlignment="1">
      <alignment/>
    </xf>
    <xf numFmtId="3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7" fontId="2" fillId="0" borderId="0" xfId="15" applyNumberFormat="1" applyFont="1" applyBorder="1" applyAlignment="1">
      <alignment/>
    </xf>
    <xf numFmtId="166" fontId="2" fillId="0" borderId="5" xfId="17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165" fontId="2" fillId="0" borderId="7" xfId="17" applyNumberFormat="1" applyFont="1" applyBorder="1" applyAlignment="1">
      <alignment horizontal="right"/>
    </xf>
    <xf numFmtId="167" fontId="2" fillId="0" borderId="7" xfId="15" applyNumberFormat="1" applyFont="1" applyBorder="1" applyAlignment="1">
      <alignment/>
    </xf>
    <xf numFmtId="0" fontId="2" fillId="0" borderId="8" xfId="0" applyFont="1" applyBorder="1" applyAlignment="1">
      <alignment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7" fontId="4" fillId="0" borderId="0" xfId="15" applyNumberFormat="1" applyFont="1" applyAlignment="1">
      <alignment/>
    </xf>
    <xf numFmtId="166" fontId="4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165" fontId="4" fillId="0" borderId="0" xfId="17" applyNumberFormat="1" applyFont="1" applyAlignment="1">
      <alignment horizontal="center"/>
    </xf>
    <xf numFmtId="167" fontId="4" fillId="0" borderId="0" xfId="15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167" fontId="6" fillId="0" borderId="0" xfId="15" applyNumberFormat="1" applyFont="1" applyAlignment="1">
      <alignment horizontal="center"/>
    </xf>
    <xf numFmtId="166" fontId="6" fillId="0" borderId="0" xfId="17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17" applyNumberFormat="1" applyFont="1" applyAlignment="1">
      <alignment horizontal="center"/>
    </xf>
    <xf numFmtId="165" fontId="6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/>
    </xf>
    <xf numFmtId="164" fontId="2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169" fontId="2" fillId="0" borderId="0" xfId="17" applyNumberFormat="1" applyFont="1" applyAlignment="1">
      <alignment/>
    </xf>
    <xf numFmtId="44" fontId="2" fillId="0" borderId="0" xfId="17" applyFont="1" applyAlignment="1">
      <alignment/>
    </xf>
    <xf numFmtId="49" fontId="2" fillId="0" borderId="0" xfId="0" applyNumberFormat="1" applyFont="1" applyAlignment="1" quotePrefix="1">
      <alignment horizontal="left"/>
    </xf>
    <xf numFmtId="6" fontId="2" fillId="0" borderId="0" xfId="0" applyNumberFormat="1" applyFont="1" applyAlignment="1" quotePrefix="1">
      <alignment horizontal="left"/>
    </xf>
    <xf numFmtId="167" fontId="2" fillId="0" borderId="0" xfId="15" applyNumberFormat="1" applyFont="1" applyAlignment="1">
      <alignment horizontal="right"/>
    </xf>
    <xf numFmtId="3" fontId="2" fillId="0" borderId="0" xfId="15" applyNumberFormat="1" applyFont="1" applyAlignment="1">
      <alignment/>
    </xf>
    <xf numFmtId="170" fontId="2" fillId="0" borderId="0" xfId="0" applyNumberFormat="1" applyFont="1" applyAlignment="1">
      <alignment/>
    </xf>
    <xf numFmtId="7" fontId="2" fillId="0" borderId="0" xfId="17" applyNumberFormat="1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9"/>
  <sheetViews>
    <sheetView tabSelected="1" workbookViewId="0" topLeftCell="A1">
      <pane ySplit="9" topLeftCell="BM82" activePane="bottomLeft" state="frozen"/>
      <selection pane="topLeft" activeCell="A1" sqref="A1"/>
      <selection pane="bottomLeft" activeCell="A99" sqref="A99"/>
    </sheetView>
  </sheetViews>
  <sheetFormatPr defaultColWidth="9.140625" defaultRowHeight="12.75"/>
  <cols>
    <col min="1" max="1" width="8.57421875" style="3" customWidth="1"/>
    <col min="2" max="2" width="6.28125" style="2" customWidth="1"/>
    <col min="3" max="3" width="15.421875" style="3" customWidth="1"/>
    <col min="4" max="4" width="20.421875" style="3" bestFit="1" customWidth="1"/>
    <col min="5" max="6" width="21.140625" style="3" customWidth="1"/>
    <col min="7" max="7" width="9.8515625" style="2" customWidth="1"/>
    <col min="8" max="8" width="5.00390625" style="2" customWidth="1"/>
    <col min="9" max="9" width="9.140625" style="4" customWidth="1"/>
    <col min="10" max="10" width="10.28125" style="5" customWidth="1"/>
    <col min="11" max="11" width="19.140625" style="3" bestFit="1" customWidth="1"/>
    <col min="12" max="12" width="7.57421875" style="6" bestFit="1" customWidth="1"/>
    <col min="13" max="13" width="8.140625" style="51" bestFit="1" customWidth="1"/>
    <col min="14" max="14" width="7.7109375" style="8" bestFit="1" customWidth="1"/>
    <col min="15" max="15" width="9.140625" style="67" customWidth="1"/>
    <col min="16" max="16" width="5.421875" style="10" customWidth="1"/>
    <col min="17" max="17" width="7.7109375" style="18" bestFit="1" customWidth="1"/>
    <col min="18" max="18" width="8.00390625" style="8" customWidth="1"/>
    <col min="19" max="19" width="9.140625" style="52" customWidth="1"/>
    <col min="20" max="20" width="5.8515625" style="2" customWidth="1"/>
    <col min="21" max="21" width="6.8515625" style="2" customWidth="1"/>
    <col min="22" max="23" width="6.8515625" style="2" bestFit="1" customWidth="1"/>
    <col min="24" max="24" width="10.57421875" style="3" customWidth="1"/>
    <col min="25" max="25" width="7.421875" style="3" bestFit="1" customWidth="1"/>
    <col min="26" max="26" width="4.140625" style="2" customWidth="1"/>
    <col min="27" max="27" width="4.7109375" style="3" customWidth="1"/>
    <col min="28" max="28" width="76.00390625" style="3" bestFit="1" customWidth="1"/>
    <col min="29" max="29" width="76.8515625" style="3" bestFit="1" customWidth="1"/>
    <col min="30" max="30" width="75.421875" style="3" bestFit="1" customWidth="1"/>
    <col min="31" max="31" width="73.8515625" style="3" bestFit="1" customWidth="1"/>
    <col min="32" max="16384" width="9.140625" style="11" customWidth="1"/>
  </cols>
  <sheetData>
    <row r="1" spans="1:25" ht="18.75">
      <c r="A1" s="1" t="s">
        <v>0</v>
      </c>
      <c r="M1" s="7"/>
      <c r="O1" s="9"/>
      <c r="Q1" s="11"/>
      <c r="S1" s="2"/>
      <c r="X1" s="12"/>
      <c r="Y1" s="12"/>
    </row>
    <row r="2" spans="1:25" ht="15.75">
      <c r="A2" s="13" t="s">
        <v>1</v>
      </c>
      <c r="L2" s="14" t="s">
        <v>2</v>
      </c>
      <c r="M2" s="15" t="s">
        <v>3</v>
      </c>
      <c r="N2" s="16" t="s">
        <v>4</v>
      </c>
      <c r="O2" s="17"/>
      <c r="R2" s="11"/>
      <c r="S2" s="2"/>
      <c r="X2" s="12"/>
      <c r="Y2" s="12"/>
    </row>
    <row r="3" spans="1:25" ht="12.75">
      <c r="A3" s="11"/>
      <c r="L3" s="19"/>
      <c r="M3" s="20" t="s">
        <v>5</v>
      </c>
      <c r="N3" s="21" t="s">
        <v>6</v>
      </c>
      <c r="O3" s="22"/>
      <c r="S3" s="2"/>
      <c r="X3" s="12"/>
      <c r="Y3" s="12"/>
    </row>
    <row r="4" spans="1:25" ht="12.75">
      <c r="A4" s="23"/>
      <c r="L4" s="19"/>
      <c r="M4" s="20" t="s">
        <v>7</v>
      </c>
      <c r="N4" s="21" t="s">
        <v>8</v>
      </c>
      <c r="O4" s="22"/>
      <c r="Q4" s="11"/>
      <c r="S4" s="2"/>
      <c r="X4" s="12"/>
      <c r="Y4" s="12"/>
    </row>
    <row r="5" spans="1:25" ht="12.75">
      <c r="A5" s="23"/>
      <c r="L5" s="24"/>
      <c r="M5" s="25" t="s">
        <v>9</v>
      </c>
      <c r="N5" s="26" t="s">
        <v>10</v>
      </c>
      <c r="O5" s="27"/>
      <c r="Q5" s="11"/>
      <c r="S5" s="2"/>
      <c r="X5" s="12"/>
      <c r="Y5" s="12"/>
    </row>
    <row r="6" spans="13:25" ht="12.75">
      <c r="M6" s="7"/>
      <c r="O6" s="9"/>
      <c r="S6" s="2"/>
      <c r="X6" s="12"/>
      <c r="Y6" s="12"/>
    </row>
    <row r="7" spans="7:26" ht="12.75">
      <c r="G7" s="28" t="s">
        <v>11</v>
      </c>
      <c r="I7" s="29" t="s">
        <v>12</v>
      </c>
      <c r="J7" s="30" t="s">
        <v>12</v>
      </c>
      <c r="K7" s="31"/>
      <c r="L7" s="32"/>
      <c r="M7" s="33"/>
      <c r="N7" s="34"/>
      <c r="O7" s="35"/>
      <c r="P7" s="36" t="s">
        <v>13</v>
      </c>
      <c r="Q7" s="37" t="s">
        <v>14</v>
      </c>
      <c r="R7" s="38" t="s">
        <v>15</v>
      </c>
      <c r="S7" s="28"/>
      <c r="T7" s="28" t="s">
        <v>16</v>
      </c>
      <c r="U7" s="28"/>
      <c r="V7" s="28" t="s">
        <v>17</v>
      </c>
      <c r="W7" s="28" t="s">
        <v>18</v>
      </c>
      <c r="X7" s="28" t="s">
        <v>19</v>
      </c>
      <c r="Y7" s="28" t="s">
        <v>20</v>
      </c>
      <c r="Z7" s="2" t="s">
        <v>13</v>
      </c>
    </row>
    <row r="8" spans="1:31" ht="12.75">
      <c r="A8" s="39" t="s">
        <v>21</v>
      </c>
      <c r="B8" s="40" t="s">
        <v>22</v>
      </c>
      <c r="C8" s="39" t="s">
        <v>23</v>
      </c>
      <c r="D8" s="39" t="s">
        <v>24</v>
      </c>
      <c r="E8" s="39" t="s">
        <v>25</v>
      </c>
      <c r="F8" s="39" t="s">
        <v>26</v>
      </c>
      <c r="G8" s="40" t="s">
        <v>27</v>
      </c>
      <c r="H8" s="40" t="s">
        <v>28</v>
      </c>
      <c r="I8" s="41" t="s">
        <v>29</v>
      </c>
      <c r="J8" s="42" t="s">
        <v>30</v>
      </c>
      <c r="K8" s="40" t="s">
        <v>31</v>
      </c>
      <c r="L8" s="43" t="s">
        <v>32</v>
      </c>
      <c r="M8" s="44" t="s">
        <v>33</v>
      </c>
      <c r="N8" s="45" t="s">
        <v>34</v>
      </c>
      <c r="O8" s="46" t="s">
        <v>35</v>
      </c>
      <c r="P8" s="47" t="s">
        <v>36</v>
      </c>
      <c r="Q8" s="48" t="s">
        <v>37</v>
      </c>
      <c r="R8" s="45" t="s">
        <v>38</v>
      </c>
      <c r="S8" s="40" t="s">
        <v>39</v>
      </c>
      <c r="T8" s="40" t="s">
        <v>40</v>
      </c>
      <c r="U8" s="40" t="s">
        <v>41</v>
      </c>
      <c r="V8" s="40" t="s">
        <v>42</v>
      </c>
      <c r="W8" s="40" t="s">
        <v>43</v>
      </c>
      <c r="X8" s="40" t="s">
        <v>44</v>
      </c>
      <c r="Y8" s="40" t="s">
        <v>45</v>
      </c>
      <c r="Z8" s="40" t="s">
        <v>46</v>
      </c>
      <c r="AB8" s="40" t="s">
        <v>47</v>
      </c>
      <c r="AC8" s="40" t="s">
        <v>48</v>
      </c>
      <c r="AD8" s="40" t="s">
        <v>49</v>
      </c>
      <c r="AE8" s="40" t="s">
        <v>50</v>
      </c>
    </row>
    <row r="9" spans="1:31" ht="1.5" customHeight="1">
      <c r="A9" s="39" t="s">
        <v>51</v>
      </c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40" t="s">
        <v>57</v>
      </c>
      <c r="H9" s="40" t="s">
        <v>58</v>
      </c>
      <c r="I9" s="40" t="s">
        <v>59</v>
      </c>
      <c r="J9" s="39" t="s">
        <v>60</v>
      </c>
      <c r="K9" s="39" t="s">
        <v>61</v>
      </c>
      <c r="L9" s="39" t="s">
        <v>62</v>
      </c>
      <c r="M9" s="39" t="s">
        <v>63</v>
      </c>
      <c r="N9" s="39" t="s">
        <v>64</v>
      </c>
      <c r="O9" s="39" t="s">
        <v>65</v>
      </c>
      <c r="P9" s="40" t="s">
        <v>66</v>
      </c>
      <c r="Q9" s="49" t="s">
        <v>67</v>
      </c>
      <c r="R9" s="39" t="s">
        <v>68</v>
      </c>
      <c r="S9" s="39" t="s">
        <v>69</v>
      </c>
      <c r="T9" s="39" t="s">
        <v>70</v>
      </c>
      <c r="U9" s="39" t="s">
        <v>71</v>
      </c>
      <c r="V9" s="39" t="s">
        <v>72</v>
      </c>
      <c r="W9" s="39" t="s">
        <v>73</v>
      </c>
      <c r="X9" s="39" t="s">
        <v>74</v>
      </c>
      <c r="Y9" s="39" t="s">
        <v>75</v>
      </c>
      <c r="Z9" s="40" t="s">
        <v>76</v>
      </c>
      <c r="AA9" s="39" t="s">
        <v>77</v>
      </c>
      <c r="AB9" s="39" t="s">
        <v>78</v>
      </c>
      <c r="AC9" s="39" t="s">
        <v>79</v>
      </c>
      <c r="AD9" s="39" t="s">
        <v>80</v>
      </c>
      <c r="AE9" s="39" t="s">
        <v>81</v>
      </c>
    </row>
    <row r="10" spans="1:32" ht="12.75">
      <c r="A10" s="3" t="s">
        <v>82</v>
      </c>
      <c r="B10" s="2" t="s">
        <v>83</v>
      </c>
      <c r="C10" s="3" t="s">
        <v>84</v>
      </c>
      <c r="D10" s="3" t="s">
        <v>85</v>
      </c>
      <c r="E10" s="3" t="s">
        <v>86</v>
      </c>
      <c r="F10" s="3" t="s">
        <v>87</v>
      </c>
      <c r="G10" s="2" t="s">
        <v>88</v>
      </c>
      <c r="H10" s="2" t="s">
        <v>89</v>
      </c>
      <c r="I10" s="4">
        <v>37652</v>
      </c>
      <c r="J10" s="5">
        <v>900000</v>
      </c>
      <c r="K10" s="50" t="s">
        <v>90</v>
      </c>
      <c r="L10" s="6">
        <f>9411+6672</f>
        <v>16083</v>
      </c>
      <c r="M10" s="51">
        <f>+J10/L10</f>
        <v>55.95970900951315</v>
      </c>
      <c r="N10" s="8">
        <f>11988+6672</f>
        <v>18660</v>
      </c>
      <c r="O10" s="51">
        <f>+J10/N10</f>
        <v>48.231511254019296</v>
      </c>
      <c r="Q10" s="18">
        <f>IF(P10=0,"",+AF10)</f>
      </c>
      <c r="R10" s="8">
        <v>50281</v>
      </c>
      <c r="S10" s="52" t="s">
        <v>91</v>
      </c>
      <c r="T10" s="2" t="s">
        <v>92</v>
      </c>
      <c r="U10" s="2" t="s">
        <v>93</v>
      </c>
      <c r="V10" s="2" t="s">
        <v>94</v>
      </c>
      <c r="W10" s="2" t="s">
        <v>95</v>
      </c>
      <c r="X10" s="3" t="s">
        <v>96</v>
      </c>
      <c r="Y10" s="3" t="s">
        <v>97</v>
      </c>
      <c r="Z10" s="2" t="s">
        <v>98</v>
      </c>
      <c r="AB10" s="3" t="s">
        <v>99</v>
      </c>
      <c r="AC10" s="3" t="s">
        <v>100</v>
      </c>
      <c r="AD10" s="3" t="s">
        <v>101</v>
      </c>
      <c r="AE10" s="3" t="s">
        <v>102</v>
      </c>
      <c r="AF10" s="11" t="e">
        <f>ROUND(+J10/P10,-2)</f>
        <v>#DIV/0!</v>
      </c>
    </row>
    <row r="11" spans="1:32" ht="12.75">
      <c r="A11" s="3" t="s">
        <v>103</v>
      </c>
      <c r="B11" s="2" t="s">
        <v>104</v>
      </c>
      <c r="C11" s="3" t="s">
        <v>105</v>
      </c>
      <c r="D11" s="3" t="s">
        <v>106</v>
      </c>
      <c r="E11" s="3" t="s">
        <v>107</v>
      </c>
      <c r="F11" s="3" t="s">
        <v>108</v>
      </c>
      <c r="G11" s="2" t="s">
        <v>109</v>
      </c>
      <c r="H11" s="2" t="s">
        <v>89</v>
      </c>
      <c r="I11" s="4">
        <v>37662</v>
      </c>
      <c r="J11" s="5">
        <v>4400000</v>
      </c>
      <c r="K11" s="50" t="s">
        <v>110</v>
      </c>
      <c r="L11" s="6">
        <v>15120</v>
      </c>
      <c r="M11" s="51">
        <f aca="true" t="shared" si="0" ref="M11:M74">+J11/L11</f>
        <v>291.005291005291</v>
      </c>
      <c r="N11" s="8">
        <v>15120</v>
      </c>
      <c r="O11" s="51">
        <f>+J11/N11</f>
        <v>291.005291005291</v>
      </c>
      <c r="Q11" s="18">
        <f aca="true" t="shared" si="1" ref="Q11:Q74">IF(P11=0,"",+AF11)</f>
      </c>
      <c r="R11" s="8">
        <v>84199</v>
      </c>
      <c r="S11" s="52" t="s">
        <v>111</v>
      </c>
      <c r="T11" s="2" t="s">
        <v>112</v>
      </c>
      <c r="U11" s="2" t="s">
        <v>93</v>
      </c>
      <c r="V11" s="2" t="s">
        <v>113</v>
      </c>
      <c r="X11" s="3" t="s">
        <v>114</v>
      </c>
      <c r="Y11" s="3" t="s">
        <v>115</v>
      </c>
      <c r="Z11" s="2" t="s">
        <v>98</v>
      </c>
      <c r="AB11" s="3" t="s">
        <v>116</v>
      </c>
      <c r="AC11" s="3" t="s">
        <v>117</v>
      </c>
      <c r="AF11" s="11" t="e">
        <f aca="true" t="shared" si="2" ref="AF11:AF74">ROUND(+J11/P11,-2)</f>
        <v>#DIV/0!</v>
      </c>
    </row>
    <row r="12" spans="1:32" ht="12.75">
      <c r="A12" s="3" t="s">
        <v>118</v>
      </c>
      <c r="B12" s="2" t="s">
        <v>119</v>
      </c>
      <c r="C12" s="3" t="s">
        <v>120</v>
      </c>
      <c r="D12" s="3" t="s">
        <v>121</v>
      </c>
      <c r="E12" s="3" t="s">
        <v>122</v>
      </c>
      <c r="F12" s="3" t="s">
        <v>123</v>
      </c>
      <c r="G12" s="2" t="s">
        <v>124</v>
      </c>
      <c r="H12" s="2" t="s">
        <v>89</v>
      </c>
      <c r="I12" s="4">
        <v>37750</v>
      </c>
      <c r="J12" s="5">
        <v>412500</v>
      </c>
      <c r="K12" s="50" t="s">
        <v>125</v>
      </c>
      <c r="L12" s="6">
        <v>3584</v>
      </c>
      <c r="M12" s="51">
        <f t="shared" si="0"/>
        <v>115.09486607142857</v>
      </c>
      <c r="N12" s="8">
        <v>3712</v>
      </c>
      <c r="O12" s="51">
        <f aca="true" t="shared" si="3" ref="O12:O75">+J12/N12</f>
        <v>111.12607758620689</v>
      </c>
      <c r="P12" s="10">
        <v>8</v>
      </c>
      <c r="Q12" s="18">
        <f t="shared" si="1"/>
        <v>51600</v>
      </c>
      <c r="R12" s="8">
        <v>16102</v>
      </c>
      <c r="S12" s="52" t="s">
        <v>126</v>
      </c>
      <c r="T12" s="2" t="s">
        <v>127</v>
      </c>
      <c r="U12" s="2" t="s">
        <v>93</v>
      </c>
      <c r="V12" s="2" t="s">
        <v>128</v>
      </c>
      <c r="X12" s="3" t="s">
        <v>129</v>
      </c>
      <c r="Y12" s="3" t="s">
        <v>97</v>
      </c>
      <c r="Z12" s="2" t="s">
        <v>130</v>
      </c>
      <c r="AB12" s="3" t="s">
        <v>131</v>
      </c>
      <c r="AF12" s="11">
        <f t="shared" si="2"/>
        <v>51600</v>
      </c>
    </row>
    <row r="13" spans="1:32" ht="12.75">
      <c r="A13" s="3" t="s">
        <v>132</v>
      </c>
      <c r="B13" s="2" t="s">
        <v>119</v>
      </c>
      <c r="C13" s="3" t="s">
        <v>133</v>
      </c>
      <c r="D13" s="3" t="s">
        <v>134</v>
      </c>
      <c r="E13" s="3" t="s">
        <v>122</v>
      </c>
      <c r="F13" s="3" t="s">
        <v>123</v>
      </c>
      <c r="G13" s="2" t="s">
        <v>135</v>
      </c>
      <c r="H13" s="2" t="s">
        <v>89</v>
      </c>
      <c r="I13" s="4">
        <v>37750</v>
      </c>
      <c r="J13" s="5">
        <v>412500</v>
      </c>
      <c r="K13" s="50" t="s">
        <v>125</v>
      </c>
      <c r="L13" s="6">
        <v>3584</v>
      </c>
      <c r="M13" s="51">
        <f>+J13/L13</f>
        <v>115.09486607142857</v>
      </c>
      <c r="N13" s="8">
        <v>3712</v>
      </c>
      <c r="O13" s="51">
        <f>+J13/N13</f>
        <v>111.12607758620689</v>
      </c>
      <c r="P13" s="10">
        <v>8</v>
      </c>
      <c r="Q13" s="18">
        <f>IF(P13=0,"",+AF13)</f>
        <v>51600</v>
      </c>
      <c r="R13" s="8">
        <v>16310</v>
      </c>
      <c r="S13" s="52" t="s">
        <v>126</v>
      </c>
      <c r="T13" s="2" t="s">
        <v>127</v>
      </c>
      <c r="U13" s="2" t="s">
        <v>93</v>
      </c>
      <c r="V13" s="2" t="s">
        <v>128</v>
      </c>
      <c r="X13" s="3" t="s">
        <v>129</v>
      </c>
      <c r="Y13" s="3" t="s">
        <v>97</v>
      </c>
      <c r="Z13" s="2" t="s">
        <v>130</v>
      </c>
      <c r="AB13" s="3" t="s">
        <v>131</v>
      </c>
      <c r="AF13" s="11">
        <f t="shared" si="2"/>
        <v>51600</v>
      </c>
    </row>
    <row r="14" spans="1:32" ht="12.75">
      <c r="A14" s="3" t="s">
        <v>136</v>
      </c>
      <c r="B14" s="2" t="s">
        <v>137</v>
      </c>
      <c r="C14" s="3" t="s">
        <v>138</v>
      </c>
      <c r="D14" s="3" t="s">
        <v>139</v>
      </c>
      <c r="E14" s="3" t="s">
        <v>140</v>
      </c>
      <c r="F14" s="3" t="s">
        <v>141</v>
      </c>
      <c r="G14" s="2" t="s">
        <v>142</v>
      </c>
      <c r="H14" s="2" t="s">
        <v>89</v>
      </c>
      <c r="I14" s="4">
        <v>37762</v>
      </c>
      <c r="J14" s="5">
        <v>2500000</v>
      </c>
      <c r="K14" s="50" t="s">
        <v>143</v>
      </c>
      <c r="L14" s="6">
        <v>32086</v>
      </c>
      <c r="M14" s="51">
        <f t="shared" si="0"/>
        <v>77.91560182010846</v>
      </c>
      <c r="N14" s="8">
        <v>32086</v>
      </c>
      <c r="O14" s="51">
        <f t="shared" si="3"/>
        <v>77.91560182010846</v>
      </c>
      <c r="P14" s="10">
        <v>69</v>
      </c>
      <c r="Q14" s="18">
        <f t="shared" si="1"/>
        <v>36200</v>
      </c>
      <c r="R14" s="8">
        <v>69506</v>
      </c>
      <c r="S14" s="52" t="s">
        <v>111</v>
      </c>
      <c r="T14" s="2" t="s">
        <v>144</v>
      </c>
      <c r="U14" s="2" t="s">
        <v>93</v>
      </c>
      <c r="V14" s="2" t="s">
        <v>145</v>
      </c>
      <c r="X14" s="3" t="s">
        <v>146</v>
      </c>
      <c r="Y14" s="3" t="s">
        <v>97</v>
      </c>
      <c r="Z14" s="2" t="s">
        <v>147</v>
      </c>
      <c r="AB14" s="3" t="s">
        <v>148</v>
      </c>
      <c r="AF14" s="11">
        <f t="shared" si="2"/>
        <v>36200</v>
      </c>
    </row>
    <row r="15" spans="1:32" ht="12.75">
      <c r="A15" s="3" t="s">
        <v>149</v>
      </c>
      <c r="B15" s="2" t="s">
        <v>150</v>
      </c>
      <c r="C15" s="53" t="s">
        <v>151</v>
      </c>
      <c r="D15" s="3" t="s">
        <v>152</v>
      </c>
      <c r="E15" s="3" t="s">
        <v>153</v>
      </c>
      <c r="F15" s="3" t="s">
        <v>154</v>
      </c>
      <c r="G15" s="2" t="s">
        <v>155</v>
      </c>
      <c r="H15" s="2" t="s">
        <v>89</v>
      </c>
      <c r="I15" s="54">
        <v>37722</v>
      </c>
      <c r="J15" s="5">
        <v>610000</v>
      </c>
      <c r="K15" s="50" t="s">
        <v>110</v>
      </c>
      <c r="L15" s="6">
        <v>4508</v>
      </c>
      <c r="M15" s="51">
        <f t="shared" si="0"/>
        <v>135.31499556344278</v>
      </c>
      <c r="N15" s="8">
        <v>8108</v>
      </c>
      <c r="O15" s="51">
        <f t="shared" si="3"/>
        <v>75.23433645781944</v>
      </c>
      <c r="Q15" s="18">
        <f t="shared" si="1"/>
      </c>
      <c r="R15" s="8">
        <f>7881+8151</f>
        <v>16032</v>
      </c>
      <c r="S15" s="52" t="s">
        <v>91</v>
      </c>
      <c r="T15" s="2" t="s">
        <v>156</v>
      </c>
      <c r="U15" s="2" t="s">
        <v>93</v>
      </c>
      <c r="V15" s="2" t="s">
        <v>157</v>
      </c>
      <c r="W15" s="2" t="s">
        <v>158</v>
      </c>
      <c r="X15" s="3" t="s">
        <v>159</v>
      </c>
      <c r="Y15" s="3" t="s">
        <v>160</v>
      </c>
      <c r="Z15" s="2" t="s">
        <v>98</v>
      </c>
      <c r="AB15" s="11" t="s">
        <v>161</v>
      </c>
      <c r="AC15" s="11" t="s">
        <v>162</v>
      </c>
      <c r="AD15" s="11" t="s">
        <v>163</v>
      </c>
      <c r="AF15" s="11" t="e">
        <f t="shared" si="2"/>
        <v>#DIV/0!</v>
      </c>
    </row>
    <row r="16" spans="1:32" ht="12.75">
      <c r="A16" s="3" t="s">
        <v>164</v>
      </c>
      <c r="B16" s="2" t="s">
        <v>119</v>
      </c>
      <c r="C16" s="3" t="s">
        <v>165</v>
      </c>
      <c r="D16" s="3" t="s">
        <v>166</v>
      </c>
      <c r="E16" s="3" t="s">
        <v>167</v>
      </c>
      <c r="F16" s="3" t="s">
        <v>168</v>
      </c>
      <c r="G16" s="2" t="s">
        <v>169</v>
      </c>
      <c r="H16" s="2" t="s">
        <v>89</v>
      </c>
      <c r="I16" s="4">
        <v>37651</v>
      </c>
      <c r="J16" s="5">
        <v>420000</v>
      </c>
      <c r="K16" s="50" t="s">
        <v>125</v>
      </c>
      <c r="L16" s="6">
        <v>8040</v>
      </c>
      <c r="M16" s="51">
        <f t="shared" si="0"/>
        <v>52.23880597014925</v>
      </c>
      <c r="N16" s="8">
        <v>9115</v>
      </c>
      <c r="O16" s="51">
        <f t="shared" si="3"/>
        <v>46.07789358200768</v>
      </c>
      <c r="P16" s="10">
        <v>8</v>
      </c>
      <c r="Q16" s="18">
        <f t="shared" si="1"/>
        <v>52500</v>
      </c>
      <c r="R16" s="8">
        <v>16120</v>
      </c>
      <c r="S16" s="52" t="s">
        <v>126</v>
      </c>
      <c r="T16" s="2" t="s">
        <v>127</v>
      </c>
      <c r="U16" s="2" t="s">
        <v>93</v>
      </c>
      <c r="V16" s="2" t="s">
        <v>170</v>
      </c>
      <c r="X16" s="3" t="s">
        <v>171</v>
      </c>
      <c r="Y16" s="3" t="s">
        <v>97</v>
      </c>
      <c r="Z16" s="2" t="s">
        <v>130</v>
      </c>
      <c r="AB16" s="11" t="s">
        <v>172</v>
      </c>
      <c r="AC16" s="55"/>
      <c r="AF16" s="11">
        <f t="shared" si="2"/>
        <v>52500</v>
      </c>
    </row>
    <row r="17" spans="1:32" ht="12.75">
      <c r="A17" s="3" t="s">
        <v>173</v>
      </c>
      <c r="B17" s="2" t="s">
        <v>174</v>
      </c>
      <c r="C17" s="3" t="s">
        <v>175</v>
      </c>
      <c r="D17" s="3" t="s">
        <v>176</v>
      </c>
      <c r="E17" s="3" t="s">
        <v>177</v>
      </c>
      <c r="F17" s="3" t="s">
        <v>178</v>
      </c>
      <c r="G17" s="2" t="s">
        <v>179</v>
      </c>
      <c r="H17" s="2" t="s">
        <v>89</v>
      </c>
      <c r="I17" s="4">
        <v>37680</v>
      </c>
      <c r="J17" s="5">
        <v>279900</v>
      </c>
      <c r="K17" s="50" t="s">
        <v>180</v>
      </c>
      <c r="L17" s="6">
        <v>3600</v>
      </c>
      <c r="M17" s="51">
        <f t="shared" si="0"/>
        <v>77.75</v>
      </c>
      <c r="N17" s="8">
        <v>3600</v>
      </c>
      <c r="O17" s="51">
        <f t="shared" si="3"/>
        <v>77.75</v>
      </c>
      <c r="Q17" s="18">
        <f t="shared" si="1"/>
      </c>
      <c r="R17" s="8">
        <v>19952</v>
      </c>
      <c r="S17" s="52" t="s">
        <v>181</v>
      </c>
      <c r="T17" s="2" t="s">
        <v>182</v>
      </c>
      <c r="U17" s="2" t="s">
        <v>93</v>
      </c>
      <c r="V17" s="2" t="s">
        <v>170</v>
      </c>
      <c r="X17" s="3" t="s">
        <v>183</v>
      </c>
      <c r="Y17" s="3" t="s">
        <v>115</v>
      </c>
      <c r="Z17" s="2" t="s">
        <v>98</v>
      </c>
      <c r="AB17" s="3" t="s">
        <v>184</v>
      </c>
      <c r="AC17" s="3" t="s">
        <v>185</v>
      </c>
      <c r="AD17" s="3" t="s">
        <v>186</v>
      </c>
      <c r="AF17" s="11" t="e">
        <f t="shared" si="2"/>
        <v>#DIV/0!</v>
      </c>
    </row>
    <row r="18" spans="1:32" ht="12.75">
      <c r="A18" s="3" t="s">
        <v>187</v>
      </c>
      <c r="B18" s="2" t="s">
        <v>188</v>
      </c>
      <c r="C18" s="3" t="s">
        <v>189</v>
      </c>
      <c r="D18" s="3" t="s">
        <v>190</v>
      </c>
      <c r="E18" s="3" t="s">
        <v>191</v>
      </c>
      <c r="F18" s="3" t="s">
        <v>192</v>
      </c>
      <c r="G18" s="2" t="s">
        <v>193</v>
      </c>
      <c r="H18" s="2" t="s">
        <v>89</v>
      </c>
      <c r="I18" s="54">
        <v>37802</v>
      </c>
      <c r="J18" s="5">
        <v>913400</v>
      </c>
      <c r="K18" s="50" t="s">
        <v>194</v>
      </c>
      <c r="L18" s="6">
        <v>20950</v>
      </c>
      <c r="M18" s="51">
        <f t="shared" si="0"/>
        <v>43.599045346062056</v>
      </c>
      <c r="N18" s="8">
        <v>25650</v>
      </c>
      <c r="O18" s="51">
        <f t="shared" si="3"/>
        <v>35.61013645224172</v>
      </c>
      <c r="P18" s="10">
        <v>24</v>
      </c>
      <c r="Q18" s="18">
        <f t="shared" si="1"/>
        <v>38100</v>
      </c>
      <c r="R18" s="8">
        <v>43790</v>
      </c>
      <c r="S18" s="52" t="s">
        <v>195</v>
      </c>
      <c r="T18" s="2" t="s">
        <v>127</v>
      </c>
      <c r="U18" s="2" t="s">
        <v>93</v>
      </c>
      <c r="V18" s="2" t="s">
        <v>196</v>
      </c>
      <c r="X18" s="3" t="s">
        <v>114</v>
      </c>
      <c r="Y18" s="3" t="s">
        <v>97</v>
      </c>
      <c r="Z18" s="2" t="s">
        <v>130</v>
      </c>
      <c r="AB18" s="3" t="s">
        <v>197</v>
      </c>
      <c r="AC18" s="3" t="s">
        <v>198</v>
      </c>
      <c r="AD18" s="3" t="s">
        <v>199</v>
      </c>
      <c r="AF18" s="11">
        <f t="shared" si="2"/>
        <v>38100</v>
      </c>
    </row>
    <row r="19" spans="1:32" ht="12.75">
      <c r="A19" s="3" t="s">
        <v>200</v>
      </c>
      <c r="B19" s="2" t="s">
        <v>188</v>
      </c>
      <c r="C19" s="56" t="s">
        <v>201</v>
      </c>
      <c r="D19" s="56" t="s">
        <v>202</v>
      </c>
      <c r="E19" s="56" t="s">
        <v>203</v>
      </c>
      <c r="F19" s="3" t="s">
        <v>204</v>
      </c>
      <c r="G19" s="2" t="s">
        <v>205</v>
      </c>
      <c r="H19" s="2" t="s">
        <v>89</v>
      </c>
      <c r="I19" s="54">
        <v>37776</v>
      </c>
      <c r="J19" s="57">
        <v>1269000</v>
      </c>
      <c r="K19" s="56" t="s">
        <v>90</v>
      </c>
      <c r="L19" s="58">
        <v>24440</v>
      </c>
      <c r="M19" s="59">
        <f>J19/L19</f>
        <v>51.92307692307692</v>
      </c>
      <c r="N19" s="58">
        <v>24440</v>
      </c>
      <c r="O19" s="59">
        <f>J19/N19</f>
        <v>51.92307692307692</v>
      </c>
      <c r="P19" s="60"/>
      <c r="Q19" s="57" t="str">
        <f>IF(P19=0,"        N/A",ROUND(+J19/P19,-2))</f>
        <v>        N/A</v>
      </c>
      <c r="R19" s="58">
        <v>125020</v>
      </c>
      <c r="S19" s="52" t="s">
        <v>111</v>
      </c>
      <c r="T19" s="61" t="s">
        <v>206</v>
      </c>
      <c r="U19" s="61" t="s">
        <v>93</v>
      </c>
      <c r="V19" s="2" t="s">
        <v>128</v>
      </c>
      <c r="W19" s="61">
        <v>1985</v>
      </c>
      <c r="X19" s="56" t="s">
        <v>207</v>
      </c>
      <c r="Y19" s="56" t="s">
        <v>97</v>
      </c>
      <c r="Z19" s="60">
        <v>2</v>
      </c>
      <c r="AA19" s="62"/>
      <c r="AB19" s="62" t="s">
        <v>208</v>
      </c>
      <c r="AC19" s="62" t="s">
        <v>209</v>
      </c>
      <c r="AD19" s="62" t="s">
        <v>210</v>
      </c>
      <c r="AE19" s="62" t="s">
        <v>211</v>
      </c>
      <c r="AF19" s="11" t="e">
        <f t="shared" si="2"/>
        <v>#DIV/0!</v>
      </c>
    </row>
    <row r="20" spans="1:32" ht="12.75">
      <c r="A20" s="3" t="s">
        <v>212</v>
      </c>
      <c r="B20" s="2" t="s">
        <v>119</v>
      </c>
      <c r="C20" s="3" t="s">
        <v>213</v>
      </c>
      <c r="D20" s="3" t="s">
        <v>214</v>
      </c>
      <c r="E20" s="3" t="s">
        <v>215</v>
      </c>
      <c r="F20" s="3" t="s">
        <v>216</v>
      </c>
      <c r="G20" s="2" t="s">
        <v>217</v>
      </c>
      <c r="H20" s="2" t="s">
        <v>89</v>
      </c>
      <c r="I20" s="54">
        <v>37712</v>
      </c>
      <c r="J20" s="5">
        <v>408000</v>
      </c>
      <c r="K20" s="50" t="s">
        <v>90</v>
      </c>
      <c r="L20" s="6">
        <v>5244</v>
      </c>
      <c r="M20" s="51">
        <f t="shared" si="0"/>
        <v>77.80320366132723</v>
      </c>
      <c r="N20" s="8">
        <v>5244</v>
      </c>
      <c r="O20" s="51">
        <f t="shared" si="3"/>
        <v>77.80320366132723</v>
      </c>
      <c r="Q20" s="18">
        <f t="shared" si="1"/>
      </c>
      <c r="R20" s="8">
        <v>22065</v>
      </c>
      <c r="S20" s="52" t="s">
        <v>91</v>
      </c>
      <c r="T20" s="2" t="s">
        <v>218</v>
      </c>
      <c r="U20" s="2" t="s">
        <v>93</v>
      </c>
      <c r="V20" s="2" t="s">
        <v>219</v>
      </c>
      <c r="X20" s="3" t="s">
        <v>220</v>
      </c>
      <c r="Y20" s="3" t="s">
        <v>115</v>
      </c>
      <c r="Z20" s="2" t="s">
        <v>98</v>
      </c>
      <c r="AB20" s="62" t="s">
        <v>221</v>
      </c>
      <c r="AC20" s="3" t="s">
        <v>222</v>
      </c>
      <c r="AF20" s="11" t="e">
        <f t="shared" si="2"/>
        <v>#DIV/0!</v>
      </c>
    </row>
    <row r="21" spans="1:32" ht="12.75">
      <c r="A21" s="3" t="s">
        <v>223</v>
      </c>
      <c r="B21" s="2" t="s">
        <v>224</v>
      </c>
      <c r="C21" s="3" t="s">
        <v>225</v>
      </c>
      <c r="D21" s="3" t="s">
        <v>226</v>
      </c>
      <c r="E21" s="3" t="s">
        <v>227</v>
      </c>
      <c r="F21" s="3" t="s">
        <v>228</v>
      </c>
      <c r="G21" s="2" t="s">
        <v>229</v>
      </c>
      <c r="H21" s="2" t="s">
        <v>89</v>
      </c>
      <c r="I21" s="54">
        <v>37830</v>
      </c>
      <c r="J21" s="5">
        <v>1150000</v>
      </c>
      <c r="K21" s="50" t="s">
        <v>90</v>
      </c>
      <c r="L21" s="6">
        <v>18327</v>
      </c>
      <c r="M21" s="51">
        <f t="shared" si="0"/>
        <v>62.748949637147376</v>
      </c>
      <c r="N21" s="8">
        <v>18327</v>
      </c>
      <c r="O21" s="51">
        <f t="shared" si="3"/>
        <v>62.748949637147376</v>
      </c>
      <c r="Q21" s="18">
        <f t="shared" si="1"/>
      </c>
      <c r="R21" s="8">
        <v>36216</v>
      </c>
      <c r="S21" s="52" t="s">
        <v>181</v>
      </c>
      <c r="T21" s="2" t="s">
        <v>206</v>
      </c>
      <c r="U21" s="2" t="s">
        <v>93</v>
      </c>
      <c r="V21" s="2" t="s">
        <v>230</v>
      </c>
      <c r="X21" s="3" t="s">
        <v>220</v>
      </c>
      <c r="Y21" s="3" t="s">
        <v>160</v>
      </c>
      <c r="Z21" s="2" t="s">
        <v>130</v>
      </c>
      <c r="AB21" s="3" t="s">
        <v>231</v>
      </c>
      <c r="AC21" s="3" t="s">
        <v>232</v>
      </c>
      <c r="AF21" s="11" t="e">
        <f t="shared" si="2"/>
        <v>#DIV/0!</v>
      </c>
    </row>
    <row r="22" spans="1:32" ht="12.75">
      <c r="A22" s="3" t="s">
        <v>233</v>
      </c>
      <c r="B22" s="2" t="s">
        <v>224</v>
      </c>
      <c r="C22" s="3" t="s">
        <v>234</v>
      </c>
      <c r="D22" s="3" t="s">
        <v>235</v>
      </c>
      <c r="E22" s="3" t="s">
        <v>236</v>
      </c>
      <c r="F22" s="3" t="s">
        <v>237</v>
      </c>
      <c r="G22" s="2" t="s">
        <v>238</v>
      </c>
      <c r="H22" s="2" t="s">
        <v>89</v>
      </c>
      <c r="I22" s="54">
        <v>37783</v>
      </c>
      <c r="J22" s="5">
        <v>2500000</v>
      </c>
      <c r="K22" s="50" t="s">
        <v>90</v>
      </c>
      <c r="L22" s="6">
        <v>29824</v>
      </c>
      <c r="M22" s="51">
        <f>+J22/L22</f>
        <v>83.82510729613733</v>
      </c>
      <c r="N22" s="8">
        <v>39212</v>
      </c>
      <c r="O22" s="51">
        <f>+J22/N22</f>
        <v>63.75599306334796</v>
      </c>
      <c r="Q22" s="18">
        <f>IF(P22=0,"",+AF22)</f>
      </c>
      <c r="R22" s="8">
        <v>79695</v>
      </c>
      <c r="S22" s="52" t="s">
        <v>111</v>
      </c>
      <c r="T22" s="2" t="s">
        <v>206</v>
      </c>
      <c r="U22" s="2" t="s">
        <v>93</v>
      </c>
      <c r="V22" s="2" t="s">
        <v>239</v>
      </c>
      <c r="X22" s="3" t="s">
        <v>220</v>
      </c>
      <c r="Y22" s="3" t="s">
        <v>97</v>
      </c>
      <c r="Z22" s="2" t="s">
        <v>147</v>
      </c>
      <c r="AB22" s="62" t="s">
        <v>240</v>
      </c>
      <c r="AF22" s="11" t="e">
        <f t="shared" si="2"/>
        <v>#DIV/0!</v>
      </c>
    </row>
    <row r="23" spans="1:32" ht="12.75">
      <c r="A23" s="3" t="s">
        <v>241</v>
      </c>
      <c r="B23" s="2" t="s">
        <v>150</v>
      </c>
      <c r="C23" s="3" t="s">
        <v>242</v>
      </c>
      <c r="D23" s="3" t="s">
        <v>243</v>
      </c>
      <c r="E23" s="3" t="s">
        <v>244</v>
      </c>
      <c r="F23" s="3" t="s">
        <v>245</v>
      </c>
      <c r="G23" s="2" t="s">
        <v>246</v>
      </c>
      <c r="H23" s="2" t="s">
        <v>89</v>
      </c>
      <c r="I23" s="4">
        <v>37802</v>
      </c>
      <c r="J23" s="5">
        <v>683000</v>
      </c>
      <c r="K23" s="50" t="s">
        <v>90</v>
      </c>
      <c r="L23" s="6">
        <v>7500</v>
      </c>
      <c r="M23" s="51">
        <f t="shared" si="0"/>
        <v>91.06666666666666</v>
      </c>
      <c r="N23" s="8">
        <v>7500</v>
      </c>
      <c r="O23" s="51">
        <f t="shared" si="3"/>
        <v>91.06666666666666</v>
      </c>
      <c r="Q23" s="18">
        <f t="shared" si="1"/>
      </c>
      <c r="R23" s="8">
        <v>16988</v>
      </c>
      <c r="S23" s="52" t="s">
        <v>91</v>
      </c>
      <c r="T23" s="2" t="s">
        <v>206</v>
      </c>
      <c r="U23" s="2" t="s">
        <v>93</v>
      </c>
      <c r="V23" s="2" t="s">
        <v>247</v>
      </c>
      <c r="W23" s="2" t="s">
        <v>128</v>
      </c>
      <c r="X23" s="3" t="s">
        <v>248</v>
      </c>
      <c r="Y23" s="3" t="s">
        <v>160</v>
      </c>
      <c r="Z23" s="2" t="s">
        <v>130</v>
      </c>
      <c r="AB23" s="3" t="s">
        <v>249</v>
      </c>
      <c r="AC23" s="3" t="s">
        <v>250</v>
      </c>
      <c r="AF23" s="11" t="e">
        <f t="shared" si="2"/>
        <v>#DIV/0!</v>
      </c>
    </row>
    <row r="24" spans="1:32" ht="12.75">
      <c r="A24" s="3" t="s">
        <v>251</v>
      </c>
      <c r="B24" s="2" t="s">
        <v>224</v>
      </c>
      <c r="C24" s="56" t="s">
        <v>252</v>
      </c>
      <c r="D24" s="3" t="s">
        <v>253</v>
      </c>
      <c r="E24" s="3" t="s">
        <v>254</v>
      </c>
      <c r="F24" s="3" t="s">
        <v>255</v>
      </c>
      <c r="G24" s="2" t="s">
        <v>256</v>
      </c>
      <c r="H24" s="2" t="s">
        <v>89</v>
      </c>
      <c r="I24" s="54">
        <v>37628</v>
      </c>
      <c r="J24" s="5">
        <v>750000</v>
      </c>
      <c r="K24" s="50" t="s">
        <v>257</v>
      </c>
      <c r="L24" s="6">
        <v>14132</v>
      </c>
      <c r="M24" s="51">
        <f t="shared" si="0"/>
        <v>53.071044438154544</v>
      </c>
      <c r="N24" s="8">
        <v>14132</v>
      </c>
      <c r="O24" s="51">
        <f t="shared" si="3"/>
        <v>53.071044438154544</v>
      </c>
      <c r="Q24" s="18">
        <f t="shared" si="1"/>
      </c>
      <c r="R24" s="8">
        <v>34848</v>
      </c>
      <c r="S24" s="52" t="s">
        <v>111</v>
      </c>
      <c r="T24" s="2" t="s">
        <v>258</v>
      </c>
      <c r="U24" s="2" t="s">
        <v>93</v>
      </c>
      <c r="V24" s="2" t="s">
        <v>259</v>
      </c>
      <c r="X24" s="3" t="s">
        <v>260</v>
      </c>
      <c r="Y24" s="3" t="s">
        <v>183</v>
      </c>
      <c r="Z24" s="2" t="s">
        <v>98</v>
      </c>
      <c r="AB24" s="3" t="s">
        <v>261</v>
      </c>
      <c r="AC24" s="3" t="s">
        <v>262</v>
      </c>
      <c r="AF24" s="11" t="e">
        <f t="shared" si="2"/>
        <v>#DIV/0!</v>
      </c>
    </row>
    <row r="25" spans="1:32" ht="12.75">
      <c r="A25" s="3" t="s">
        <v>263</v>
      </c>
      <c r="B25" s="2" t="s">
        <v>188</v>
      </c>
      <c r="C25" s="3" t="s">
        <v>264</v>
      </c>
      <c r="D25" s="3" t="s">
        <v>265</v>
      </c>
      <c r="E25" s="3" t="s">
        <v>266</v>
      </c>
      <c r="F25" s="3" t="s">
        <v>267</v>
      </c>
      <c r="G25" s="2" t="s">
        <v>268</v>
      </c>
      <c r="H25" s="2" t="s">
        <v>89</v>
      </c>
      <c r="I25" s="54">
        <v>37832</v>
      </c>
      <c r="J25" s="5">
        <v>530000</v>
      </c>
      <c r="K25" s="50" t="s">
        <v>269</v>
      </c>
      <c r="L25" s="6">
        <v>6832</v>
      </c>
      <c r="M25" s="51">
        <f t="shared" si="0"/>
        <v>77.57611241217799</v>
      </c>
      <c r="N25" s="8">
        <v>10248</v>
      </c>
      <c r="O25" s="51">
        <f t="shared" si="3"/>
        <v>51.71740827478532</v>
      </c>
      <c r="P25" s="10">
        <v>10</v>
      </c>
      <c r="Q25" s="18">
        <f t="shared" si="1"/>
        <v>53000</v>
      </c>
      <c r="R25" s="8">
        <v>32360</v>
      </c>
      <c r="S25" s="52" t="s">
        <v>270</v>
      </c>
      <c r="T25" s="2" t="s">
        <v>127</v>
      </c>
      <c r="U25" s="2" t="s">
        <v>93</v>
      </c>
      <c r="V25" s="2" t="s">
        <v>271</v>
      </c>
      <c r="X25" s="3" t="s">
        <v>114</v>
      </c>
      <c r="Y25" s="3" t="s">
        <v>97</v>
      </c>
      <c r="Z25" s="2" t="s">
        <v>130</v>
      </c>
      <c r="AB25" s="11" t="s">
        <v>272</v>
      </c>
      <c r="AC25" s="11" t="s">
        <v>273</v>
      </c>
      <c r="AF25" s="11">
        <f>ROUND(+J25/P25,-2)</f>
        <v>53000</v>
      </c>
    </row>
    <row r="26" spans="1:32" ht="12.75">
      <c r="A26" s="3" t="s">
        <v>274</v>
      </c>
      <c r="B26" s="2" t="s">
        <v>188</v>
      </c>
      <c r="C26" s="3" t="s">
        <v>275</v>
      </c>
      <c r="D26" s="3" t="s">
        <v>276</v>
      </c>
      <c r="E26" s="3" t="s">
        <v>277</v>
      </c>
      <c r="F26" s="3" t="s">
        <v>267</v>
      </c>
      <c r="G26" s="2" t="s">
        <v>278</v>
      </c>
      <c r="H26" s="2" t="s">
        <v>89</v>
      </c>
      <c r="I26" s="54">
        <v>37832</v>
      </c>
      <c r="J26" s="5">
        <v>530000</v>
      </c>
      <c r="K26" s="50" t="s">
        <v>269</v>
      </c>
      <c r="L26" s="6">
        <v>6832</v>
      </c>
      <c r="M26" s="51">
        <f t="shared" si="0"/>
        <v>77.57611241217799</v>
      </c>
      <c r="N26" s="8">
        <v>10248</v>
      </c>
      <c r="O26" s="51">
        <f t="shared" si="3"/>
        <v>51.71740827478532</v>
      </c>
      <c r="P26" s="10">
        <v>10</v>
      </c>
      <c r="Q26" s="18">
        <f t="shared" si="1"/>
        <v>53000</v>
      </c>
      <c r="R26" s="8">
        <v>24831</v>
      </c>
      <c r="S26" s="52" t="s">
        <v>270</v>
      </c>
      <c r="T26" s="2" t="s">
        <v>127</v>
      </c>
      <c r="U26" s="2" t="s">
        <v>93</v>
      </c>
      <c r="V26" s="2" t="s">
        <v>271</v>
      </c>
      <c r="X26" s="3" t="s">
        <v>114</v>
      </c>
      <c r="Y26" s="3" t="s">
        <v>97</v>
      </c>
      <c r="Z26" s="2" t="s">
        <v>130</v>
      </c>
      <c r="AA26" s="63"/>
      <c r="AB26" s="11" t="s">
        <v>272</v>
      </c>
      <c r="AC26" s="11" t="s">
        <v>273</v>
      </c>
      <c r="AF26" s="11">
        <f t="shared" si="2"/>
        <v>53000</v>
      </c>
    </row>
    <row r="27" spans="1:32" ht="12.75">
      <c r="A27" s="3" t="s">
        <v>279</v>
      </c>
      <c r="B27" s="2" t="s">
        <v>83</v>
      </c>
      <c r="C27" s="3" t="s">
        <v>280</v>
      </c>
      <c r="D27" s="3" t="s">
        <v>281</v>
      </c>
      <c r="E27" s="3" t="s">
        <v>282</v>
      </c>
      <c r="F27" s="3" t="s">
        <v>283</v>
      </c>
      <c r="G27" s="2" t="s">
        <v>284</v>
      </c>
      <c r="H27" s="2" t="s">
        <v>89</v>
      </c>
      <c r="I27" s="4">
        <v>37636</v>
      </c>
      <c r="J27" s="5">
        <v>1575000</v>
      </c>
      <c r="K27" s="50" t="s">
        <v>285</v>
      </c>
      <c r="L27" s="6">
        <f>15500+21000</f>
        <v>36500</v>
      </c>
      <c r="M27" s="51">
        <f t="shared" si="0"/>
        <v>43.15068493150685</v>
      </c>
      <c r="N27" s="8">
        <v>36500</v>
      </c>
      <c r="O27" s="51">
        <f t="shared" si="3"/>
        <v>43.15068493150685</v>
      </c>
      <c r="Q27" s="18">
        <f t="shared" si="1"/>
      </c>
      <c r="R27" s="8">
        <v>87216</v>
      </c>
      <c r="S27" s="52" t="s">
        <v>286</v>
      </c>
      <c r="T27" s="2" t="s">
        <v>287</v>
      </c>
      <c r="U27" s="2" t="s">
        <v>93</v>
      </c>
      <c r="V27" s="2" t="s">
        <v>230</v>
      </c>
      <c r="W27" s="2" t="s">
        <v>288</v>
      </c>
      <c r="X27" s="3" t="s">
        <v>260</v>
      </c>
      <c r="Y27" s="3" t="s">
        <v>183</v>
      </c>
      <c r="Z27" s="2" t="s">
        <v>98</v>
      </c>
      <c r="AA27" s="63"/>
      <c r="AB27" s="3" t="s">
        <v>289</v>
      </c>
      <c r="AC27" s="3" t="s">
        <v>290</v>
      </c>
      <c r="AD27" s="3" t="s">
        <v>291</v>
      </c>
      <c r="AF27" s="11" t="e">
        <f t="shared" si="2"/>
        <v>#DIV/0!</v>
      </c>
    </row>
    <row r="28" spans="1:32" ht="12.75">
      <c r="A28" s="3" t="s">
        <v>292</v>
      </c>
      <c r="B28" s="2" t="s">
        <v>83</v>
      </c>
      <c r="C28" s="56" t="s">
        <v>293</v>
      </c>
      <c r="D28" s="56" t="s">
        <v>294</v>
      </c>
      <c r="E28" s="56" t="s">
        <v>295</v>
      </c>
      <c r="F28" s="11" t="s">
        <v>296</v>
      </c>
      <c r="G28" s="2" t="s">
        <v>297</v>
      </c>
      <c r="H28" s="2" t="s">
        <v>89</v>
      </c>
      <c r="I28" s="4">
        <v>37628</v>
      </c>
      <c r="J28" s="57">
        <v>575000</v>
      </c>
      <c r="K28" s="56" t="s">
        <v>90</v>
      </c>
      <c r="L28" s="58">
        <v>6589</v>
      </c>
      <c r="M28" s="59">
        <f>J28/L28</f>
        <v>87.26665654879345</v>
      </c>
      <c r="N28" s="58">
        <v>6813</v>
      </c>
      <c r="O28" s="59">
        <f>J28/N28</f>
        <v>84.39747541464847</v>
      </c>
      <c r="P28" s="60"/>
      <c r="Q28" s="57"/>
      <c r="R28" s="58">
        <v>40406</v>
      </c>
      <c r="S28" s="52" t="s">
        <v>111</v>
      </c>
      <c r="T28" s="61" t="s">
        <v>92</v>
      </c>
      <c r="U28" s="61" t="s">
        <v>93</v>
      </c>
      <c r="V28" s="2" t="s">
        <v>94</v>
      </c>
      <c r="W28" s="2" t="s">
        <v>298</v>
      </c>
      <c r="X28" s="56" t="s">
        <v>299</v>
      </c>
      <c r="Y28" s="56" t="s">
        <v>160</v>
      </c>
      <c r="Z28" s="60">
        <v>1</v>
      </c>
      <c r="AA28" s="62"/>
      <c r="AB28" s="62" t="s">
        <v>300</v>
      </c>
      <c r="AF28" s="11" t="e">
        <f t="shared" si="2"/>
        <v>#DIV/0!</v>
      </c>
    </row>
    <row r="29" spans="1:32" ht="12.75">
      <c r="A29" s="3" t="s">
        <v>301</v>
      </c>
      <c r="B29" s="2" t="s">
        <v>83</v>
      </c>
      <c r="C29" s="56" t="s">
        <v>302</v>
      </c>
      <c r="D29" s="56" t="s">
        <v>303</v>
      </c>
      <c r="E29" s="56" t="s">
        <v>295</v>
      </c>
      <c r="F29" s="11" t="s">
        <v>296</v>
      </c>
      <c r="G29" s="2" t="s">
        <v>304</v>
      </c>
      <c r="H29" s="2" t="s">
        <v>89</v>
      </c>
      <c r="I29" s="4">
        <v>37628</v>
      </c>
      <c r="J29" s="57">
        <v>590000</v>
      </c>
      <c r="K29" s="64" t="s">
        <v>305</v>
      </c>
      <c r="L29" s="58">
        <v>9800</v>
      </c>
      <c r="M29" s="59">
        <f>J29/L29</f>
        <v>60.204081632653065</v>
      </c>
      <c r="N29" s="58">
        <v>9800</v>
      </c>
      <c r="O29" s="59">
        <f>J29/N29</f>
        <v>60.204081632653065</v>
      </c>
      <c r="P29" s="60"/>
      <c r="Q29" s="57"/>
      <c r="R29" s="58">
        <v>36750</v>
      </c>
      <c r="S29" s="52" t="s">
        <v>111</v>
      </c>
      <c r="T29" s="61">
        <v>404</v>
      </c>
      <c r="U29" s="61" t="s">
        <v>93</v>
      </c>
      <c r="V29" s="2" t="s">
        <v>158</v>
      </c>
      <c r="X29" s="3" t="s">
        <v>260</v>
      </c>
      <c r="Y29" s="3" t="s">
        <v>306</v>
      </c>
      <c r="Z29" s="60">
        <v>1</v>
      </c>
      <c r="AA29" s="62"/>
      <c r="AB29" s="65" t="s">
        <v>307</v>
      </c>
      <c r="AF29" s="11" t="e">
        <f t="shared" si="2"/>
        <v>#DIV/0!</v>
      </c>
    </row>
    <row r="30" spans="1:32" ht="12.75">
      <c r="A30" s="3" t="s">
        <v>308</v>
      </c>
      <c r="B30" s="2" t="s">
        <v>83</v>
      </c>
      <c r="C30" s="3" t="s">
        <v>309</v>
      </c>
      <c r="D30" s="3" t="s">
        <v>310</v>
      </c>
      <c r="E30" s="3" t="s">
        <v>311</v>
      </c>
      <c r="F30" s="56" t="s">
        <v>312</v>
      </c>
      <c r="G30" s="2" t="s">
        <v>313</v>
      </c>
      <c r="H30" s="2" t="s">
        <v>89</v>
      </c>
      <c r="I30" s="4">
        <v>37726</v>
      </c>
      <c r="J30" s="5">
        <v>630000</v>
      </c>
      <c r="K30" s="50" t="s">
        <v>314</v>
      </c>
      <c r="L30" s="6">
        <v>21000</v>
      </c>
      <c r="M30" s="51">
        <f>+J30/L30</f>
        <v>30</v>
      </c>
      <c r="N30" s="8">
        <v>21000</v>
      </c>
      <c r="O30" s="51">
        <f>+J30/N30</f>
        <v>30</v>
      </c>
      <c r="Q30" s="18">
        <f>IF(P30=0,"",+AF30)</f>
      </c>
      <c r="R30" s="8">
        <v>37938</v>
      </c>
      <c r="S30" s="52" t="s">
        <v>286</v>
      </c>
      <c r="T30" s="2" t="s">
        <v>315</v>
      </c>
      <c r="U30" s="2" t="s">
        <v>93</v>
      </c>
      <c r="V30" s="2" t="s">
        <v>271</v>
      </c>
      <c r="W30" s="2" t="s">
        <v>145</v>
      </c>
      <c r="X30" s="3" t="s">
        <v>260</v>
      </c>
      <c r="Y30" s="3" t="s">
        <v>183</v>
      </c>
      <c r="Z30" s="2" t="s">
        <v>98</v>
      </c>
      <c r="AB30" s="3" t="s">
        <v>316</v>
      </c>
      <c r="AC30" s="3" t="s">
        <v>317</v>
      </c>
      <c r="AD30" s="3" t="s">
        <v>318</v>
      </c>
      <c r="AF30" s="11" t="e">
        <f t="shared" si="2"/>
        <v>#DIV/0!</v>
      </c>
    </row>
    <row r="31" spans="1:32" ht="12.75">
      <c r="A31" s="3" t="s">
        <v>319</v>
      </c>
      <c r="B31" s="2" t="s">
        <v>83</v>
      </c>
      <c r="C31" s="3" t="s">
        <v>309</v>
      </c>
      <c r="D31" s="3" t="s">
        <v>310</v>
      </c>
      <c r="E31" s="56" t="s">
        <v>312</v>
      </c>
      <c r="F31" s="56" t="s">
        <v>320</v>
      </c>
      <c r="G31" s="2" t="s">
        <v>321</v>
      </c>
      <c r="H31" s="2" t="s">
        <v>89</v>
      </c>
      <c r="I31" s="4">
        <v>37726</v>
      </c>
      <c r="J31" s="5">
        <v>785000</v>
      </c>
      <c r="K31" s="50" t="s">
        <v>314</v>
      </c>
      <c r="L31" s="6">
        <v>21000</v>
      </c>
      <c r="M31" s="51">
        <f>+J31/L31</f>
        <v>37.38095238095238</v>
      </c>
      <c r="N31" s="8">
        <v>21000</v>
      </c>
      <c r="O31" s="51">
        <f>+J31/N31</f>
        <v>37.38095238095238</v>
      </c>
      <c r="Q31" s="18">
        <f>IF(P31=0,"",+AF31)</f>
      </c>
      <c r="R31" s="8">
        <v>37938</v>
      </c>
      <c r="S31" s="52" t="s">
        <v>286</v>
      </c>
      <c r="T31" s="2" t="s">
        <v>315</v>
      </c>
      <c r="U31" s="2" t="s">
        <v>93</v>
      </c>
      <c r="V31" s="2" t="s">
        <v>271</v>
      </c>
      <c r="W31" s="2" t="s">
        <v>145</v>
      </c>
      <c r="X31" s="3" t="s">
        <v>260</v>
      </c>
      <c r="Y31" s="3" t="s">
        <v>183</v>
      </c>
      <c r="Z31" s="2" t="s">
        <v>98</v>
      </c>
      <c r="AB31" s="3" t="s">
        <v>316</v>
      </c>
      <c r="AC31" s="3" t="s">
        <v>322</v>
      </c>
      <c r="AD31" s="3" t="s">
        <v>323</v>
      </c>
      <c r="AE31" s="3" t="s">
        <v>324</v>
      </c>
      <c r="AF31" s="11" t="e">
        <f t="shared" si="2"/>
        <v>#DIV/0!</v>
      </c>
    </row>
    <row r="32" spans="1:32" ht="12.75">
      <c r="A32" s="3" t="s">
        <v>325</v>
      </c>
      <c r="B32" s="2" t="s">
        <v>137</v>
      </c>
      <c r="C32" s="3" t="s">
        <v>326</v>
      </c>
      <c r="D32" s="3" t="s">
        <v>327</v>
      </c>
      <c r="E32" s="3" t="s">
        <v>328</v>
      </c>
      <c r="F32" s="3" t="s">
        <v>329</v>
      </c>
      <c r="G32" s="2" t="s">
        <v>330</v>
      </c>
      <c r="H32" s="2" t="s">
        <v>89</v>
      </c>
      <c r="I32" s="4">
        <v>37813</v>
      </c>
      <c r="J32" s="5">
        <v>1260000</v>
      </c>
      <c r="K32" s="50" t="s">
        <v>285</v>
      </c>
      <c r="L32" s="6">
        <f>56000+2500</f>
        <v>58500</v>
      </c>
      <c r="M32" s="51">
        <f t="shared" si="0"/>
        <v>21.53846153846154</v>
      </c>
      <c r="N32" s="8">
        <f>57350+2500</f>
        <v>59850</v>
      </c>
      <c r="O32" s="51">
        <f t="shared" si="3"/>
        <v>21.05263157894737</v>
      </c>
      <c r="Q32" s="18">
        <f t="shared" si="1"/>
      </c>
      <c r="R32" s="8">
        <v>139733</v>
      </c>
      <c r="S32" s="52" t="s">
        <v>286</v>
      </c>
      <c r="T32" s="2" t="s">
        <v>287</v>
      </c>
      <c r="U32" s="2" t="s">
        <v>93</v>
      </c>
      <c r="V32" s="2" t="s">
        <v>219</v>
      </c>
      <c r="X32" s="3" t="s">
        <v>260</v>
      </c>
      <c r="Y32" s="3" t="s">
        <v>183</v>
      </c>
      <c r="Z32" s="2" t="s">
        <v>98</v>
      </c>
      <c r="AB32" s="3" t="s">
        <v>331</v>
      </c>
      <c r="AC32" s="3" t="s">
        <v>332</v>
      </c>
      <c r="AD32" s="3" t="s">
        <v>333</v>
      </c>
      <c r="AF32" s="11" t="e">
        <f t="shared" si="2"/>
        <v>#DIV/0!</v>
      </c>
    </row>
    <row r="33" spans="1:32" ht="12.75">
      <c r="A33" s="3" t="s">
        <v>334</v>
      </c>
      <c r="B33" s="2" t="s">
        <v>83</v>
      </c>
      <c r="C33" s="3" t="s">
        <v>335</v>
      </c>
      <c r="D33" s="3" t="s">
        <v>336</v>
      </c>
      <c r="E33" s="3" t="s">
        <v>337</v>
      </c>
      <c r="F33" s="3" t="s">
        <v>338</v>
      </c>
      <c r="G33" s="2" t="s">
        <v>339</v>
      </c>
      <c r="H33" s="2" t="s">
        <v>89</v>
      </c>
      <c r="I33" s="4">
        <v>37623</v>
      </c>
      <c r="J33" s="5">
        <v>420000</v>
      </c>
      <c r="K33" s="50" t="s">
        <v>125</v>
      </c>
      <c r="L33" s="6">
        <f>60*58*2</f>
        <v>6960</v>
      </c>
      <c r="M33" s="51">
        <f t="shared" si="0"/>
        <v>60.3448275862069</v>
      </c>
      <c r="N33" s="8">
        <f>60*58*3</f>
        <v>10440</v>
      </c>
      <c r="O33" s="51">
        <f t="shared" si="3"/>
        <v>40.229885057471265</v>
      </c>
      <c r="P33" s="10">
        <v>8</v>
      </c>
      <c r="Q33" s="18">
        <f t="shared" si="1"/>
        <v>52500</v>
      </c>
      <c r="R33" s="8">
        <v>11928</v>
      </c>
      <c r="S33" s="52" t="s">
        <v>195</v>
      </c>
      <c r="T33" s="2" t="s">
        <v>127</v>
      </c>
      <c r="U33" s="2" t="s">
        <v>93</v>
      </c>
      <c r="V33" s="2" t="s">
        <v>340</v>
      </c>
      <c r="X33" s="3" t="s">
        <v>114</v>
      </c>
      <c r="Y33" s="3" t="s">
        <v>97</v>
      </c>
      <c r="Z33" s="2" t="s">
        <v>130</v>
      </c>
      <c r="AB33" s="3" t="s">
        <v>341</v>
      </c>
      <c r="AF33" s="11">
        <f t="shared" si="2"/>
        <v>52500</v>
      </c>
    </row>
    <row r="34" spans="1:32" ht="12.75">
      <c r="A34" s="3" t="s">
        <v>342</v>
      </c>
      <c r="B34" s="2" t="s">
        <v>83</v>
      </c>
      <c r="C34" s="3" t="s">
        <v>343</v>
      </c>
      <c r="D34" s="3" t="s">
        <v>344</v>
      </c>
      <c r="E34" s="3" t="s">
        <v>337</v>
      </c>
      <c r="F34" s="3" t="s">
        <v>345</v>
      </c>
      <c r="G34" s="2" t="s">
        <v>346</v>
      </c>
      <c r="H34" s="2" t="s">
        <v>89</v>
      </c>
      <c r="I34" s="4">
        <v>37624</v>
      </c>
      <c r="J34" s="5">
        <v>420000</v>
      </c>
      <c r="K34" s="50" t="s">
        <v>125</v>
      </c>
      <c r="L34" s="6">
        <f>60*58*2</f>
        <v>6960</v>
      </c>
      <c r="M34" s="51">
        <f t="shared" si="0"/>
        <v>60.3448275862069</v>
      </c>
      <c r="N34" s="8">
        <f>60*58*3</f>
        <v>10440</v>
      </c>
      <c r="O34" s="51">
        <f t="shared" si="3"/>
        <v>40.229885057471265</v>
      </c>
      <c r="P34" s="10">
        <v>8</v>
      </c>
      <c r="Q34" s="18">
        <f>IF(P34=0,"",+AF34)</f>
        <v>52500</v>
      </c>
      <c r="R34" s="8">
        <v>12150</v>
      </c>
      <c r="S34" s="52" t="s">
        <v>195</v>
      </c>
      <c r="T34" s="2" t="s">
        <v>127</v>
      </c>
      <c r="U34" s="2" t="s">
        <v>93</v>
      </c>
      <c r="V34" s="2" t="s">
        <v>347</v>
      </c>
      <c r="W34" s="2" t="s">
        <v>348</v>
      </c>
      <c r="X34" s="3" t="s">
        <v>114</v>
      </c>
      <c r="Y34" s="3" t="s">
        <v>97</v>
      </c>
      <c r="Z34" s="2" t="s">
        <v>130</v>
      </c>
      <c r="AB34" s="3" t="s">
        <v>349</v>
      </c>
      <c r="AF34" s="11">
        <f t="shared" si="2"/>
        <v>52500</v>
      </c>
    </row>
    <row r="35" spans="1:32" ht="12.75">
      <c r="A35" s="3" t="s">
        <v>350</v>
      </c>
      <c r="B35" s="2" t="s">
        <v>188</v>
      </c>
      <c r="C35" s="3" t="s">
        <v>351</v>
      </c>
      <c r="D35" s="3" t="s">
        <v>352</v>
      </c>
      <c r="E35" s="3" t="s">
        <v>353</v>
      </c>
      <c r="F35" s="3" t="s">
        <v>354</v>
      </c>
      <c r="G35" s="2" t="s">
        <v>355</v>
      </c>
      <c r="H35" s="2" t="s">
        <v>89</v>
      </c>
      <c r="I35" s="4">
        <v>37834</v>
      </c>
      <c r="J35" s="5">
        <v>1200000</v>
      </c>
      <c r="K35" s="50" t="s">
        <v>90</v>
      </c>
      <c r="L35" s="6">
        <v>8708</v>
      </c>
      <c r="M35" s="51">
        <f t="shared" si="0"/>
        <v>137.80431786862655</v>
      </c>
      <c r="N35" s="8">
        <v>8416</v>
      </c>
      <c r="O35" s="51">
        <f t="shared" si="3"/>
        <v>142.58555133079847</v>
      </c>
      <c r="Q35" s="18">
        <f t="shared" si="1"/>
      </c>
      <c r="R35" s="8">
        <v>79998</v>
      </c>
      <c r="S35" s="52" t="s">
        <v>356</v>
      </c>
      <c r="T35" s="2" t="s">
        <v>92</v>
      </c>
      <c r="U35" s="2" t="s">
        <v>93</v>
      </c>
      <c r="V35" s="2" t="s">
        <v>239</v>
      </c>
      <c r="X35" s="3" t="s">
        <v>114</v>
      </c>
      <c r="Y35" s="3" t="s">
        <v>97</v>
      </c>
      <c r="Z35" s="2" t="s">
        <v>98</v>
      </c>
      <c r="AB35" s="3" t="s">
        <v>357</v>
      </c>
      <c r="AC35" s="3" t="s">
        <v>358</v>
      </c>
      <c r="AD35" s="3" t="s">
        <v>359</v>
      </c>
      <c r="AE35" s="3" t="s">
        <v>360</v>
      </c>
      <c r="AF35" s="11" t="e">
        <f t="shared" si="2"/>
        <v>#DIV/0!</v>
      </c>
    </row>
    <row r="36" spans="1:32" ht="12.75">
      <c r="A36" s="3" t="s">
        <v>361</v>
      </c>
      <c r="B36" s="2" t="s">
        <v>150</v>
      </c>
      <c r="C36" s="3" t="s">
        <v>362</v>
      </c>
      <c r="D36" s="3" t="s">
        <v>363</v>
      </c>
      <c r="E36" s="3" t="s">
        <v>364</v>
      </c>
      <c r="F36" s="3" t="s">
        <v>365</v>
      </c>
      <c r="G36" s="2" t="s">
        <v>366</v>
      </c>
      <c r="H36" s="2" t="s">
        <v>367</v>
      </c>
      <c r="I36" s="4">
        <v>37729</v>
      </c>
      <c r="J36" s="5">
        <v>200000</v>
      </c>
      <c r="K36" s="50" t="s">
        <v>368</v>
      </c>
      <c r="L36" s="6">
        <v>2954</v>
      </c>
      <c r="M36" s="51">
        <f t="shared" si="0"/>
        <v>67.70480704129993</v>
      </c>
      <c r="N36" s="8">
        <v>4018</v>
      </c>
      <c r="O36" s="51">
        <f t="shared" si="3"/>
        <v>49.77600796416127</v>
      </c>
      <c r="P36" s="10">
        <v>1</v>
      </c>
      <c r="Q36" s="18">
        <f t="shared" si="1"/>
        <v>200000</v>
      </c>
      <c r="R36" s="8">
        <v>3788</v>
      </c>
      <c r="S36" s="52" t="s">
        <v>369</v>
      </c>
      <c r="T36" s="2" t="s">
        <v>370</v>
      </c>
      <c r="U36" s="2" t="s">
        <v>93</v>
      </c>
      <c r="V36" s="2" t="s">
        <v>371</v>
      </c>
      <c r="W36" s="2" t="s">
        <v>347</v>
      </c>
      <c r="X36" s="3" t="s">
        <v>114</v>
      </c>
      <c r="Y36" s="3" t="s">
        <v>97</v>
      </c>
      <c r="Z36" s="2" t="s">
        <v>130</v>
      </c>
      <c r="AB36" s="3" t="s">
        <v>372</v>
      </c>
      <c r="AC36" s="3" t="s">
        <v>373</v>
      </c>
      <c r="AD36" s="3" t="s">
        <v>374</v>
      </c>
      <c r="AE36" s="3" t="s">
        <v>375</v>
      </c>
      <c r="AF36" s="11">
        <f t="shared" si="2"/>
        <v>200000</v>
      </c>
    </row>
    <row r="37" spans="1:32" ht="12.75">
      <c r="A37" s="3" t="s">
        <v>376</v>
      </c>
      <c r="B37" s="2" t="s">
        <v>377</v>
      </c>
      <c r="C37" s="3" t="s">
        <v>378</v>
      </c>
      <c r="D37" s="3" t="s">
        <v>379</v>
      </c>
      <c r="E37" s="3" t="s">
        <v>380</v>
      </c>
      <c r="F37" s="3" t="s">
        <v>381</v>
      </c>
      <c r="G37" s="2" t="s">
        <v>382</v>
      </c>
      <c r="H37" s="2" t="s">
        <v>367</v>
      </c>
      <c r="I37" s="4">
        <v>37785</v>
      </c>
      <c r="J37" s="5">
        <v>392500</v>
      </c>
      <c r="K37" s="50" t="s">
        <v>383</v>
      </c>
      <c r="L37" s="6">
        <v>4686</v>
      </c>
      <c r="M37" s="51">
        <f t="shared" si="0"/>
        <v>83.76013657703798</v>
      </c>
      <c r="N37" s="8">
        <v>4686</v>
      </c>
      <c r="O37" s="51">
        <f t="shared" si="3"/>
        <v>83.76013657703798</v>
      </c>
      <c r="Q37" s="18">
        <f t="shared" si="1"/>
      </c>
      <c r="R37" s="8">
        <v>10774</v>
      </c>
      <c r="S37" s="52" t="s">
        <v>91</v>
      </c>
      <c r="T37" s="2" t="s">
        <v>156</v>
      </c>
      <c r="U37" s="2" t="s">
        <v>93</v>
      </c>
      <c r="V37" s="2" t="s">
        <v>384</v>
      </c>
      <c r="W37" s="2" t="s">
        <v>385</v>
      </c>
      <c r="X37" s="3" t="s">
        <v>386</v>
      </c>
      <c r="Y37" s="3" t="s">
        <v>160</v>
      </c>
      <c r="Z37" s="2" t="s">
        <v>98</v>
      </c>
      <c r="AB37" s="3" t="s">
        <v>387</v>
      </c>
      <c r="AC37" s="3" t="s">
        <v>388</v>
      </c>
      <c r="AD37" s="3" t="s">
        <v>389</v>
      </c>
      <c r="AF37" s="11" t="e">
        <f t="shared" si="2"/>
        <v>#DIV/0!</v>
      </c>
    </row>
    <row r="38" spans="1:32" ht="12.75">
      <c r="A38" s="3" t="s">
        <v>390</v>
      </c>
      <c r="B38" s="2" t="s">
        <v>224</v>
      </c>
      <c r="C38" s="3" t="s">
        <v>391</v>
      </c>
      <c r="D38" s="3" t="s">
        <v>392</v>
      </c>
      <c r="E38" s="3" t="s">
        <v>393</v>
      </c>
      <c r="F38" s="3" t="s">
        <v>394</v>
      </c>
      <c r="G38" s="2" t="s">
        <v>395</v>
      </c>
      <c r="H38" s="2" t="s">
        <v>89</v>
      </c>
      <c r="I38" s="4">
        <v>37677</v>
      </c>
      <c r="J38" s="5">
        <v>900000</v>
      </c>
      <c r="K38" s="50" t="s">
        <v>90</v>
      </c>
      <c r="L38" s="6">
        <v>19936</v>
      </c>
      <c r="M38" s="51">
        <f t="shared" si="0"/>
        <v>45.14446227929374</v>
      </c>
      <c r="N38" s="8">
        <v>19936</v>
      </c>
      <c r="O38" s="51">
        <f t="shared" si="3"/>
        <v>45.14446227929374</v>
      </c>
      <c r="Q38" s="18">
        <f t="shared" si="1"/>
      </c>
      <c r="R38" s="8">
        <v>55718</v>
      </c>
      <c r="S38" s="52" t="s">
        <v>111</v>
      </c>
      <c r="T38" s="2" t="s">
        <v>92</v>
      </c>
      <c r="U38" s="2" t="s">
        <v>396</v>
      </c>
      <c r="V38" s="2" t="s">
        <v>397</v>
      </c>
      <c r="X38" s="3" t="s">
        <v>220</v>
      </c>
      <c r="Y38" s="3" t="s">
        <v>97</v>
      </c>
      <c r="Z38" s="2" t="s">
        <v>98</v>
      </c>
      <c r="AB38" s="3" t="s">
        <v>398</v>
      </c>
      <c r="AC38" s="3" t="s">
        <v>399</v>
      </c>
      <c r="AD38" s="3" t="s">
        <v>400</v>
      </c>
      <c r="AF38" s="11" t="e">
        <f t="shared" si="2"/>
        <v>#DIV/0!</v>
      </c>
    </row>
    <row r="39" spans="1:32" ht="12.75">
      <c r="A39" s="3" t="s">
        <v>401</v>
      </c>
      <c r="B39" s="2" t="s">
        <v>119</v>
      </c>
      <c r="C39" s="3" t="s">
        <v>402</v>
      </c>
      <c r="D39" s="3" t="s">
        <v>403</v>
      </c>
      <c r="E39" s="3" t="s">
        <v>404</v>
      </c>
      <c r="F39" s="3" t="s">
        <v>405</v>
      </c>
      <c r="G39" s="2" t="s">
        <v>406</v>
      </c>
      <c r="H39" s="2" t="s">
        <v>89</v>
      </c>
      <c r="I39" s="4">
        <v>37711</v>
      </c>
      <c r="J39" s="5">
        <v>462500</v>
      </c>
      <c r="K39" s="50" t="s">
        <v>125</v>
      </c>
      <c r="L39" s="6">
        <v>6097</v>
      </c>
      <c r="M39" s="51">
        <f t="shared" si="0"/>
        <v>75.85697884205346</v>
      </c>
      <c r="N39" s="8">
        <v>9089</v>
      </c>
      <c r="O39" s="51">
        <f t="shared" si="3"/>
        <v>50.885685994058754</v>
      </c>
      <c r="P39" s="10">
        <v>8</v>
      </c>
      <c r="Q39" s="18">
        <f t="shared" si="1"/>
        <v>57800</v>
      </c>
      <c r="R39" s="8">
        <v>12346</v>
      </c>
      <c r="S39" s="52" t="s">
        <v>195</v>
      </c>
      <c r="T39" s="2" t="s">
        <v>127</v>
      </c>
      <c r="U39" s="2" t="s">
        <v>93</v>
      </c>
      <c r="V39" s="2" t="s">
        <v>407</v>
      </c>
      <c r="X39" s="3" t="s">
        <v>408</v>
      </c>
      <c r="Y39" s="3" t="s">
        <v>97</v>
      </c>
      <c r="Z39" s="2" t="s">
        <v>130</v>
      </c>
      <c r="AB39" s="3" t="s">
        <v>409</v>
      </c>
      <c r="AF39" s="11">
        <f t="shared" si="2"/>
        <v>57800</v>
      </c>
    </row>
    <row r="40" spans="1:32" ht="12.75">
      <c r="A40" s="3" t="s">
        <v>410</v>
      </c>
      <c r="B40" s="2" t="s">
        <v>174</v>
      </c>
      <c r="C40" s="3" t="s">
        <v>411</v>
      </c>
      <c r="D40" s="3" t="s">
        <v>412</v>
      </c>
      <c r="E40" s="3" t="s">
        <v>413</v>
      </c>
      <c r="F40" s="3" t="s">
        <v>414</v>
      </c>
      <c r="G40" s="2" t="s">
        <v>415</v>
      </c>
      <c r="H40" s="2" t="s">
        <v>89</v>
      </c>
      <c r="I40" s="4">
        <v>37740</v>
      </c>
      <c r="J40" s="5">
        <v>775000</v>
      </c>
      <c r="K40" s="50" t="s">
        <v>416</v>
      </c>
      <c r="L40" s="6">
        <v>3958</v>
      </c>
      <c r="M40" s="51">
        <f t="shared" si="0"/>
        <v>195.80596260737747</v>
      </c>
      <c r="N40" s="8">
        <v>3958</v>
      </c>
      <c r="O40" s="51">
        <f t="shared" si="3"/>
        <v>195.80596260737747</v>
      </c>
      <c r="Q40" s="66">
        <f t="shared" si="1"/>
      </c>
      <c r="R40" s="8">
        <v>38114</v>
      </c>
      <c r="S40" s="52" t="s">
        <v>91</v>
      </c>
      <c r="T40" s="2" t="s">
        <v>417</v>
      </c>
      <c r="U40" s="2" t="s">
        <v>93</v>
      </c>
      <c r="V40" s="2" t="s">
        <v>418</v>
      </c>
      <c r="X40" s="3" t="s">
        <v>114</v>
      </c>
      <c r="Y40" s="3" t="s">
        <v>97</v>
      </c>
      <c r="Z40" s="2" t="s">
        <v>98</v>
      </c>
      <c r="AB40" s="3" t="s">
        <v>419</v>
      </c>
      <c r="AF40" s="11" t="e">
        <f t="shared" si="2"/>
        <v>#DIV/0!</v>
      </c>
    </row>
    <row r="41" spans="1:32" ht="12.75">
      <c r="A41" s="3" t="s">
        <v>420</v>
      </c>
      <c r="B41" s="2" t="s">
        <v>119</v>
      </c>
      <c r="C41" s="3" t="s">
        <v>421</v>
      </c>
      <c r="D41" s="3" t="s">
        <v>422</v>
      </c>
      <c r="E41" s="3" t="s">
        <v>413</v>
      </c>
      <c r="F41" s="3" t="s">
        <v>423</v>
      </c>
      <c r="G41" s="2" t="s">
        <v>424</v>
      </c>
      <c r="H41" s="2" t="s">
        <v>89</v>
      </c>
      <c r="I41" s="4">
        <v>37740</v>
      </c>
      <c r="J41" s="5">
        <v>650000</v>
      </c>
      <c r="K41" s="50" t="s">
        <v>416</v>
      </c>
      <c r="L41" s="6">
        <v>3318</v>
      </c>
      <c r="M41" s="51">
        <f t="shared" si="0"/>
        <v>195.90114526823388</v>
      </c>
      <c r="N41" s="8">
        <v>5354</v>
      </c>
      <c r="O41" s="51">
        <f t="shared" si="3"/>
        <v>121.40455734030631</v>
      </c>
      <c r="Q41" s="18">
        <f t="shared" si="1"/>
      </c>
      <c r="R41" s="8">
        <v>42732</v>
      </c>
      <c r="S41" s="52" t="s">
        <v>91</v>
      </c>
      <c r="T41" s="2" t="s">
        <v>417</v>
      </c>
      <c r="U41" s="2" t="s">
        <v>93</v>
      </c>
      <c r="V41" s="2" t="s">
        <v>425</v>
      </c>
      <c r="X41" s="3" t="s">
        <v>114</v>
      </c>
      <c r="Y41" s="3" t="s">
        <v>97</v>
      </c>
      <c r="Z41" s="2" t="s">
        <v>98</v>
      </c>
      <c r="AB41" s="3" t="s">
        <v>419</v>
      </c>
      <c r="AF41" s="11" t="e">
        <f t="shared" si="2"/>
        <v>#DIV/0!</v>
      </c>
    </row>
    <row r="42" spans="1:32" ht="12.75">
      <c r="A42" s="3" t="s">
        <v>426</v>
      </c>
      <c r="B42" s="2" t="s">
        <v>119</v>
      </c>
      <c r="C42" s="3" t="s">
        <v>427</v>
      </c>
      <c r="D42" s="3" t="s">
        <v>428</v>
      </c>
      <c r="E42" s="3" t="s">
        <v>429</v>
      </c>
      <c r="F42" s="3" t="s">
        <v>430</v>
      </c>
      <c r="G42" s="2" t="s">
        <v>431</v>
      </c>
      <c r="H42" s="2" t="s">
        <v>89</v>
      </c>
      <c r="I42" s="4">
        <v>37711</v>
      </c>
      <c r="J42" s="5">
        <v>60000</v>
      </c>
      <c r="K42" s="50" t="s">
        <v>432</v>
      </c>
      <c r="L42" s="6">
        <v>796</v>
      </c>
      <c r="M42" s="51">
        <f t="shared" si="0"/>
        <v>75.37688442211055</v>
      </c>
      <c r="N42" s="8">
        <v>796</v>
      </c>
      <c r="O42" s="51">
        <f t="shared" si="3"/>
        <v>75.37688442211055</v>
      </c>
      <c r="Q42" s="18">
        <f t="shared" si="1"/>
      </c>
      <c r="R42" s="8">
        <v>4271</v>
      </c>
      <c r="S42" s="52" t="s">
        <v>433</v>
      </c>
      <c r="T42" s="2" t="s">
        <v>434</v>
      </c>
      <c r="U42" s="2" t="s">
        <v>93</v>
      </c>
      <c r="V42" s="2" t="s">
        <v>435</v>
      </c>
      <c r="W42" s="2" t="s">
        <v>436</v>
      </c>
      <c r="X42" s="3" t="s">
        <v>437</v>
      </c>
      <c r="Y42" s="3" t="s">
        <v>97</v>
      </c>
      <c r="Z42" s="2" t="s">
        <v>98</v>
      </c>
      <c r="AB42" s="3" t="s">
        <v>438</v>
      </c>
      <c r="AC42" s="3" t="s">
        <v>439</v>
      </c>
      <c r="AF42" s="11" t="e">
        <f t="shared" si="2"/>
        <v>#DIV/0!</v>
      </c>
    </row>
    <row r="43" spans="1:32" ht="12.75">
      <c r="A43" s="3" t="s">
        <v>440</v>
      </c>
      <c r="B43" s="2" t="s">
        <v>119</v>
      </c>
      <c r="C43" s="3" t="s">
        <v>441</v>
      </c>
      <c r="D43" s="3" t="s">
        <v>442</v>
      </c>
      <c r="E43" s="3" t="s">
        <v>443</v>
      </c>
      <c r="F43" s="3" t="s">
        <v>444</v>
      </c>
      <c r="G43" s="2" t="s">
        <v>445</v>
      </c>
      <c r="H43" s="2" t="s">
        <v>89</v>
      </c>
      <c r="I43" s="4">
        <v>37834</v>
      </c>
      <c r="J43" s="5">
        <v>450000</v>
      </c>
      <c r="K43" s="50" t="s">
        <v>90</v>
      </c>
      <c r="L43" s="6">
        <v>4418</v>
      </c>
      <c r="M43" s="51">
        <f t="shared" si="0"/>
        <v>101.85604345857854</v>
      </c>
      <c r="N43" s="8">
        <v>4418</v>
      </c>
      <c r="O43" s="51">
        <f t="shared" si="3"/>
        <v>101.85604345857854</v>
      </c>
      <c r="Q43" s="18">
        <f t="shared" si="1"/>
      </c>
      <c r="R43" s="8">
        <v>23400</v>
      </c>
      <c r="S43" s="52" t="s">
        <v>181</v>
      </c>
      <c r="T43" s="2" t="s">
        <v>218</v>
      </c>
      <c r="U43" s="2" t="s">
        <v>93</v>
      </c>
      <c r="V43" s="2" t="s">
        <v>397</v>
      </c>
      <c r="W43" s="2" t="s">
        <v>425</v>
      </c>
      <c r="X43" s="3" t="s">
        <v>446</v>
      </c>
      <c r="Y43" s="3" t="s">
        <v>97</v>
      </c>
      <c r="Z43" s="2" t="s">
        <v>98</v>
      </c>
      <c r="AB43" s="3" t="s">
        <v>447</v>
      </c>
      <c r="AC43" s="3" t="s">
        <v>448</v>
      </c>
      <c r="AF43" s="11" t="e">
        <f t="shared" si="2"/>
        <v>#DIV/0!</v>
      </c>
    </row>
    <row r="44" spans="1:32" ht="12.75">
      <c r="A44" s="3" t="s">
        <v>449</v>
      </c>
      <c r="B44" s="2" t="s">
        <v>188</v>
      </c>
      <c r="C44" s="3" t="s">
        <v>450</v>
      </c>
      <c r="D44" s="3" t="s">
        <v>451</v>
      </c>
      <c r="E44" s="3" t="s">
        <v>452</v>
      </c>
      <c r="F44" s="3" t="s">
        <v>453</v>
      </c>
      <c r="G44" s="2" t="s">
        <v>454</v>
      </c>
      <c r="H44" s="2" t="s">
        <v>89</v>
      </c>
      <c r="I44" s="4">
        <v>37868</v>
      </c>
      <c r="J44" s="5">
        <v>475000</v>
      </c>
      <c r="K44" s="50" t="s">
        <v>383</v>
      </c>
      <c r="L44" s="6">
        <v>1712</v>
      </c>
      <c r="M44" s="51">
        <f t="shared" si="0"/>
        <v>277.45327102803736</v>
      </c>
      <c r="N44" s="8">
        <v>1712</v>
      </c>
      <c r="O44" s="51">
        <f t="shared" si="3"/>
        <v>277.45327102803736</v>
      </c>
      <c r="Q44" s="18">
        <f t="shared" si="1"/>
      </c>
      <c r="R44" s="8">
        <v>27560</v>
      </c>
      <c r="S44" s="52" t="s">
        <v>181</v>
      </c>
      <c r="T44" s="2" t="s">
        <v>156</v>
      </c>
      <c r="U44" s="2" t="s">
        <v>93</v>
      </c>
      <c r="V44" s="2" t="s">
        <v>145</v>
      </c>
      <c r="W44" s="2" t="s">
        <v>436</v>
      </c>
      <c r="X44" s="3" t="s">
        <v>299</v>
      </c>
      <c r="Y44" s="3" t="s">
        <v>160</v>
      </c>
      <c r="Z44" s="2" t="s">
        <v>98</v>
      </c>
      <c r="AB44" s="3" t="s">
        <v>455</v>
      </c>
      <c r="AC44" s="53" t="s">
        <v>456</v>
      </c>
      <c r="AF44" s="11" t="e">
        <f t="shared" si="2"/>
        <v>#DIV/0!</v>
      </c>
    </row>
    <row r="45" spans="1:32" ht="12.75">
      <c r="A45" s="3" t="s">
        <v>457</v>
      </c>
      <c r="B45" s="2" t="s">
        <v>174</v>
      </c>
      <c r="C45" s="3" t="s">
        <v>458</v>
      </c>
      <c r="D45" s="3" t="s">
        <v>459</v>
      </c>
      <c r="E45" s="3" t="s">
        <v>167</v>
      </c>
      <c r="F45" s="3" t="s">
        <v>460</v>
      </c>
      <c r="G45" s="2" t="s">
        <v>461</v>
      </c>
      <c r="H45" s="2" t="s">
        <v>89</v>
      </c>
      <c r="I45" s="4">
        <v>37862</v>
      </c>
      <c r="J45" s="5">
        <v>343500</v>
      </c>
      <c r="K45" s="50" t="s">
        <v>90</v>
      </c>
      <c r="L45" s="6">
        <v>4475</v>
      </c>
      <c r="M45" s="51">
        <f t="shared" si="0"/>
        <v>76.75977653631286</v>
      </c>
      <c r="N45" s="8">
        <v>4475</v>
      </c>
      <c r="O45" s="51">
        <f t="shared" si="3"/>
        <v>76.75977653631286</v>
      </c>
      <c r="Q45" s="18">
        <f t="shared" si="1"/>
      </c>
      <c r="R45" s="8">
        <v>17660</v>
      </c>
      <c r="S45" s="52" t="s">
        <v>91</v>
      </c>
      <c r="T45" s="2" t="s">
        <v>92</v>
      </c>
      <c r="U45" s="2" t="s">
        <v>93</v>
      </c>
      <c r="V45" s="2" t="s">
        <v>462</v>
      </c>
      <c r="X45" s="3" t="s">
        <v>114</v>
      </c>
      <c r="Y45" s="3" t="s">
        <v>97</v>
      </c>
      <c r="Z45" s="2" t="s">
        <v>98</v>
      </c>
      <c r="AB45" s="3" t="s">
        <v>463</v>
      </c>
      <c r="AC45" s="3" t="s">
        <v>464</v>
      </c>
      <c r="AF45" s="11" t="e">
        <f t="shared" si="2"/>
        <v>#DIV/0!</v>
      </c>
    </row>
    <row r="46" spans="1:32" ht="12.75">
      <c r="A46" s="3" t="s">
        <v>465</v>
      </c>
      <c r="B46" s="2" t="s">
        <v>377</v>
      </c>
      <c r="C46" s="3" t="s">
        <v>466</v>
      </c>
      <c r="D46" s="3" t="s">
        <v>467</v>
      </c>
      <c r="E46" s="3" t="s">
        <v>468</v>
      </c>
      <c r="F46" s="3" t="s">
        <v>469</v>
      </c>
      <c r="G46" s="2" t="s">
        <v>470</v>
      </c>
      <c r="H46" s="2" t="s">
        <v>89</v>
      </c>
      <c r="I46" s="4">
        <v>37771</v>
      </c>
      <c r="J46" s="5">
        <v>552400</v>
      </c>
      <c r="K46" s="50" t="s">
        <v>125</v>
      </c>
      <c r="L46" s="6">
        <v>7672</v>
      </c>
      <c r="M46" s="51">
        <f>+J46/L46</f>
        <v>72.00208550573514</v>
      </c>
      <c r="N46" s="8">
        <v>9808</v>
      </c>
      <c r="O46" s="51">
        <f>+J46/N46</f>
        <v>56.321370309951064</v>
      </c>
      <c r="P46" s="10">
        <v>8</v>
      </c>
      <c r="Q46" s="18">
        <f>IF(P46=0,"",+AF46)</f>
        <v>69100</v>
      </c>
      <c r="R46" s="8">
        <v>18129</v>
      </c>
      <c r="S46" s="52" t="s">
        <v>126</v>
      </c>
      <c r="T46" s="2" t="s">
        <v>127</v>
      </c>
      <c r="U46" s="2" t="s">
        <v>396</v>
      </c>
      <c r="V46" s="2" t="s">
        <v>196</v>
      </c>
      <c r="X46" s="3" t="s">
        <v>408</v>
      </c>
      <c r="Y46" s="3" t="s">
        <v>97</v>
      </c>
      <c r="Z46" s="2" t="s">
        <v>130</v>
      </c>
      <c r="AB46" s="11" t="s">
        <v>471</v>
      </c>
      <c r="AC46" s="55" t="s">
        <v>472</v>
      </c>
      <c r="AD46" s="3" t="s">
        <v>473</v>
      </c>
      <c r="AE46" s="3" t="s">
        <v>474</v>
      </c>
      <c r="AF46" s="11">
        <f>ROUND(+J46/P46,-2)</f>
        <v>69100</v>
      </c>
    </row>
    <row r="47" spans="1:32" ht="12.75">
      <c r="A47" s="3" t="s">
        <v>475</v>
      </c>
      <c r="B47" s="2" t="s">
        <v>119</v>
      </c>
      <c r="C47" s="3" t="s">
        <v>476</v>
      </c>
      <c r="D47" s="3" t="s">
        <v>477</v>
      </c>
      <c r="E47" s="3" t="s">
        <v>478</v>
      </c>
      <c r="F47" s="3" t="s">
        <v>479</v>
      </c>
      <c r="G47" s="2" t="s">
        <v>480</v>
      </c>
      <c r="H47" s="2" t="s">
        <v>89</v>
      </c>
      <c r="I47" s="4">
        <v>37761</v>
      </c>
      <c r="J47" s="5">
        <v>502500</v>
      </c>
      <c r="K47" s="50" t="s">
        <v>90</v>
      </c>
      <c r="L47" s="6">
        <v>2823</v>
      </c>
      <c r="M47" s="51">
        <f t="shared" si="0"/>
        <v>178.00212539851222</v>
      </c>
      <c r="N47" s="8">
        <v>2823</v>
      </c>
      <c r="O47" s="51">
        <f t="shared" si="3"/>
        <v>178.00212539851222</v>
      </c>
      <c r="Q47" s="18">
        <f t="shared" si="1"/>
      </c>
      <c r="R47" s="8">
        <f>29471+30056</f>
        <v>59527</v>
      </c>
      <c r="S47" s="52" t="s">
        <v>481</v>
      </c>
      <c r="T47" s="2" t="s">
        <v>92</v>
      </c>
      <c r="U47" s="2" t="s">
        <v>482</v>
      </c>
      <c r="V47" s="2" t="s">
        <v>483</v>
      </c>
      <c r="W47" s="2" t="s">
        <v>484</v>
      </c>
      <c r="X47" s="3" t="s">
        <v>485</v>
      </c>
      <c r="Y47" s="3" t="s">
        <v>306</v>
      </c>
      <c r="Z47" s="2" t="s">
        <v>98</v>
      </c>
      <c r="AB47" s="3" t="s">
        <v>486</v>
      </c>
      <c r="AC47" s="3" t="s">
        <v>487</v>
      </c>
      <c r="AD47" s="3" t="s">
        <v>488</v>
      </c>
      <c r="AF47" s="11" t="e">
        <f t="shared" si="2"/>
        <v>#DIV/0!</v>
      </c>
    </row>
    <row r="48" spans="1:32" ht="12.75">
      <c r="A48" s="3" t="s">
        <v>489</v>
      </c>
      <c r="B48" s="2" t="s">
        <v>174</v>
      </c>
      <c r="C48" s="3" t="s">
        <v>490</v>
      </c>
      <c r="D48" s="3" t="s">
        <v>491</v>
      </c>
      <c r="E48" s="3" t="s">
        <v>492</v>
      </c>
      <c r="F48" s="3" t="s">
        <v>493</v>
      </c>
      <c r="G48" s="2" t="s">
        <v>494</v>
      </c>
      <c r="H48" s="2" t="s">
        <v>89</v>
      </c>
      <c r="I48" s="4">
        <v>37770</v>
      </c>
      <c r="J48" s="5">
        <v>260000</v>
      </c>
      <c r="K48" s="50" t="s">
        <v>495</v>
      </c>
      <c r="L48" s="6">
        <v>5543</v>
      </c>
      <c r="M48" s="51">
        <f t="shared" si="0"/>
        <v>46.9060075771243</v>
      </c>
      <c r="N48" s="8">
        <v>5667</v>
      </c>
      <c r="O48" s="51">
        <f t="shared" si="3"/>
        <v>45.879654137991885</v>
      </c>
      <c r="Q48" s="18">
        <f t="shared" si="1"/>
      </c>
      <c r="R48" s="8">
        <v>24920</v>
      </c>
      <c r="S48" s="52" t="s">
        <v>286</v>
      </c>
      <c r="T48" s="2" t="s">
        <v>287</v>
      </c>
      <c r="U48" s="2" t="s">
        <v>93</v>
      </c>
      <c r="V48" s="2" t="s">
        <v>496</v>
      </c>
      <c r="X48" s="3" t="s">
        <v>497</v>
      </c>
      <c r="Y48" s="3" t="s">
        <v>97</v>
      </c>
      <c r="Z48" s="2" t="s">
        <v>98</v>
      </c>
      <c r="AB48" s="53" t="s">
        <v>498</v>
      </c>
      <c r="AC48" s="3" t="s">
        <v>499</v>
      </c>
      <c r="AF48" s="11" t="e">
        <f t="shared" si="2"/>
        <v>#DIV/0!</v>
      </c>
    </row>
    <row r="49" spans="1:32" ht="12.75">
      <c r="A49" s="3" t="s">
        <v>500</v>
      </c>
      <c r="B49" s="2" t="s">
        <v>137</v>
      </c>
      <c r="C49" s="3" t="s">
        <v>501</v>
      </c>
      <c r="D49" s="3" t="s">
        <v>502</v>
      </c>
      <c r="E49" s="3" t="s">
        <v>503</v>
      </c>
      <c r="F49" s="3" t="s">
        <v>504</v>
      </c>
      <c r="G49" s="2" t="s">
        <v>505</v>
      </c>
      <c r="H49" s="2" t="s">
        <v>89</v>
      </c>
      <c r="I49" s="4">
        <v>37783</v>
      </c>
      <c r="J49" s="5">
        <v>4867000</v>
      </c>
      <c r="K49" s="50" t="s">
        <v>506</v>
      </c>
      <c r="L49" s="6">
        <v>57360</v>
      </c>
      <c r="M49" s="51">
        <f t="shared" si="0"/>
        <v>84.85006973500697</v>
      </c>
      <c r="N49" s="8">
        <v>57360</v>
      </c>
      <c r="O49" s="51">
        <f t="shared" si="3"/>
        <v>84.85006973500697</v>
      </c>
      <c r="Q49" s="18">
        <f t="shared" si="1"/>
      </c>
      <c r="R49" s="8">
        <v>192591</v>
      </c>
      <c r="S49" s="52" t="s">
        <v>286</v>
      </c>
      <c r="T49" s="2" t="s">
        <v>287</v>
      </c>
      <c r="U49" s="2" t="s">
        <v>93</v>
      </c>
      <c r="V49" s="2" t="s">
        <v>507</v>
      </c>
      <c r="X49" s="3" t="s">
        <v>508</v>
      </c>
      <c r="Y49" s="3" t="s">
        <v>306</v>
      </c>
      <c r="Z49" s="2" t="s">
        <v>130</v>
      </c>
      <c r="AB49" s="53" t="s">
        <v>509</v>
      </c>
      <c r="AC49" s="3" t="s">
        <v>510</v>
      </c>
      <c r="AD49" s="3" t="s">
        <v>511</v>
      </c>
      <c r="AF49" s="11" t="e">
        <f t="shared" si="2"/>
        <v>#DIV/0!</v>
      </c>
    </row>
    <row r="50" spans="1:32" ht="12.75">
      <c r="A50" s="3" t="s">
        <v>512</v>
      </c>
      <c r="B50" s="2" t="s">
        <v>119</v>
      </c>
      <c r="C50" s="3" t="s">
        <v>513</v>
      </c>
      <c r="D50" s="3" t="s">
        <v>514</v>
      </c>
      <c r="E50" s="3" t="s">
        <v>515</v>
      </c>
      <c r="F50" s="3" t="s">
        <v>516</v>
      </c>
      <c r="G50" s="2" t="s">
        <v>517</v>
      </c>
      <c r="H50" s="2" t="s">
        <v>518</v>
      </c>
      <c r="I50" s="4">
        <v>37805</v>
      </c>
      <c r="J50" s="5">
        <v>213000</v>
      </c>
      <c r="K50" s="50" t="s">
        <v>519</v>
      </c>
      <c r="L50" s="6">
        <v>2152</v>
      </c>
      <c r="M50" s="51">
        <f t="shared" si="0"/>
        <v>98.97769516728624</v>
      </c>
      <c r="N50" s="8">
        <v>3768</v>
      </c>
      <c r="O50" s="51">
        <f t="shared" si="3"/>
        <v>56.52866242038217</v>
      </c>
      <c r="P50" s="10">
        <v>1</v>
      </c>
      <c r="Q50" s="18">
        <f t="shared" si="1"/>
        <v>213000</v>
      </c>
      <c r="R50" s="8">
        <v>7050</v>
      </c>
      <c r="S50" s="52" t="s">
        <v>433</v>
      </c>
      <c r="T50" s="2" t="s">
        <v>370</v>
      </c>
      <c r="U50" s="2" t="s">
        <v>93</v>
      </c>
      <c r="V50" s="2" t="s">
        <v>520</v>
      </c>
      <c r="W50" s="2" t="s">
        <v>521</v>
      </c>
      <c r="X50" s="3" t="s">
        <v>96</v>
      </c>
      <c r="Y50" s="3" t="s">
        <v>97</v>
      </c>
      <c r="Z50" s="2" t="s">
        <v>130</v>
      </c>
      <c r="AB50" s="53" t="s">
        <v>522</v>
      </c>
      <c r="AC50" s="53" t="s">
        <v>523</v>
      </c>
      <c r="AF50" s="11">
        <f t="shared" si="2"/>
        <v>213000</v>
      </c>
    </row>
    <row r="51" spans="1:32" ht="12.75">
      <c r="A51" s="3" t="s">
        <v>524</v>
      </c>
      <c r="B51" s="2" t="s">
        <v>150</v>
      </c>
      <c r="C51" s="3" t="s">
        <v>525</v>
      </c>
      <c r="D51" s="3" t="s">
        <v>526</v>
      </c>
      <c r="E51" s="3" t="s">
        <v>527</v>
      </c>
      <c r="F51" s="3" t="s">
        <v>528</v>
      </c>
      <c r="G51" s="2" t="s">
        <v>529</v>
      </c>
      <c r="H51" s="2" t="s">
        <v>367</v>
      </c>
      <c r="I51" s="4">
        <v>37868</v>
      </c>
      <c r="J51" s="5">
        <v>285000</v>
      </c>
      <c r="K51" s="50" t="s">
        <v>530</v>
      </c>
      <c r="L51" s="6">
        <v>2754</v>
      </c>
      <c r="M51" s="51">
        <f t="shared" si="0"/>
        <v>103.48583877995642</v>
      </c>
      <c r="N51" s="8">
        <v>2754</v>
      </c>
      <c r="O51" s="51">
        <f t="shared" si="3"/>
        <v>103.48583877995642</v>
      </c>
      <c r="Q51" s="18">
        <f t="shared" si="1"/>
      </c>
      <c r="R51" s="8">
        <v>16244</v>
      </c>
      <c r="S51" s="52" t="s">
        <v>91</v>
      </c>
      <c r="T51" s="2" t="s">
        <v>531</v>
      </c>
      <c r="U51" s="2" t="s">
        <v>93</v>
      </c>
      <c r="V51" s="2" t="s">
        <v>230</v>
      </c>
      <c r="X51" s="3" t="s">
        <v>532</v>
      </c>
      <c r="Y51" s="3" t="s">
        <v>183</v>
      </c>
      <c r="Z51" s="2" t="s">
        <v>98</v>
      </c>
      <c r="AB51" s="3" t="s">
        <v>533</v>
      </c>
      <c r="AC51" s="3" t="s">
        <v>534</v>
      </c>
      <c r="AF51" s="11" t="e">
        <f t="shared" si="2"/>
        <v>#DIV/0!</v>
      </c>
    </row>
    <row r="52" spans="1:32" ht="12.75">
      <c r="A52" s="3" t="s">
        <v>535</v>
      </c>
      <c r="B52" s="2" t="s">
        <v>377</v>
      </c>
      <c r="C52" s="53" t="s">
        <v>536</v>
      </c>
      <c r="D52" s="3" t="s">
        <v>537</v>
      </c>
      <c r="E52" s="3" t="s">
        <v>538</v>
      </c>
      <c r="F52" s="3" t="s">
        <v>539</v>
      </c>
      <c r="G52" s="2" t="s">
        <v>540</v>
      </c>
      <c r="H52" s="2" t="s">
        <v>89</v>
      </c>
      <c r="I52" s="4">
        <v>37741</v>
      </c>
      <c r="J52" s="5">
        <v>500000</v>
      </c>
      <c r="K52" s="50" t="s">
        <v>541</v>
      </c>
      <c r="L52" s="6">
        <f>7030*2</f>
        <v>14060</v>
      </c>
      <c r="M52" s="51">
        <f t="shared" si="0"/>
        <v>35.56187766714083</v>
      </c>
      <c r="N52" s="8">
        <v>20286</v>
      </c>
      <c r="O52" s="67">
        <f t="shared" si="3"/>
        <v>24.647540175490487</v>
      </c>
      <c r="P52" s="10">
        <v>16</v>
      </c>
      <c r="Q52" s="18">
        <f>IF(P52=0,"",+AF52)</f>
        <v>31300</v>
      </c>
      <c r="R52" s="8">
        <f>18054+17264</f>
        <v>35318</v>
      </c>
      <c r="S52" s="52" t="s">
        <v>126</v>
      </c>
      <c r="T52" s="2" t="s">
        <v>127</v>
      </c>
      <c r="U52" s="2" t="s">
        <v>93</v>
      </c>
      <c r="V52" s="2" t="s">
        <v>542</v>
      </c>
      <c r="X52" s="3" t="s">
        <v>114</v>
      </c>
      <c r="Y52" s="3" t="s">
        <v>97</v>
      </c>
      <c r="Z52" s="2" t="s">
        <v>130</v>
      </c>
      <c r="AB52" s="11" t="s">
        <v>543</v>
      </c>
      <c r="AC52" s="55" t="s">
        <v>544</v>
      </c>
      <c r="AD52" s="3" t="s">
        <v>545</v>
      </c>
      <c r="AF52" s="11">
        <f t="shared" si="2"/>
        <v>31300</v>
      </c>
    </row>
    <row r="53" spans="1:32" ht="12.75">
      <c r="A53" s="3" t="s">
        <v>546</v>
      </c>
      <c r="B53" s="2" t="s">
        <v>137</v>
      </c>
      <c r="C53" s="3" t="s">
        <v>547</v>
      </c>
      <c r="D53" s="3" t="s">
        <v>548</v>
      </c>
      <c r="E53" s="3" t="s">
        <v>549</v>
      </c>
      <c r="F53" s="3" t="s">
        <v>550</v>
      </c>
      <c r="G53" s="2" t="s">
        <v>551</v>
      </c>
      <c r="H53" s="2" t="s">
        <v>89</v>
      </c>
      <c r="I53" s="4">
        <v>37810</v>
      </c>
      <c r="J53" s="5">
        <v>1170000</v>
      </c>
      <c r="K53" s="50" t="s">
        <v>552</v>
      </c>
      <c r="L53" s="6">
        <v>17400</v>
      </c>
      <c r="M53" s="51">
        <f t="shared" si="0"/>
        <v>67.24137931034483</v>
      </c>
      <c r="N53" s="8">
        <v>17930</v>
      </c>
      <c r="O53" s="51">
        <f t="shared" si="3"/>
        <v>65.2537646402677</v>
      </c>
      <c r="Q53" s="18">
        <f t="shared" si="1"/>
      </c>
      <c r="R53" s="8">
        <v>53060</v>
      </c>
      <c r="S53" s="52" t="s">
        <v>91</v>
      </c>
      <c r="T53" s="2" t="s">
        <v>182</v>
      </c>
      <c r="U53" s="2" t="s">
        <v>93</v>
      </c>
      <c r="V53" s="2" t="s">
        <v>158</v>
      </c>
      <c r="W53" s="2" t="s">
        <v>298</v>
      </c>
      <c r="X53" s="3" t="s">
        <v>553</v>
      </c>
      <c r="Y53" s="3" t="s">
        <v>97</v>
      </c>
      <c r="Z53" s="2" t="s">
        <v>98</v>
      </c>
      <c r="AB53" s="3" t="s">
        <v>554</v>
      </c>
      <c r="AC53" s="53" t="s">
        <v>555</v>
      </c>
      <c r="AF53" s="11" t="e">
        <f t="shared" si="2"/>
        <v>#DIV/0!</v>
      </c>
    </row>
    <row r="54" spans="1:32" ht="12.75">
      <c r="A54" s="3" t="s">
        <v>556</v>
      </c>
      <c r="B54" s="2" t="s">
        <v>377</v>
      </c>
      <c r="C54" s="53" t="s">
        <v>557</v>
      </c>
      <c r="D54" s="3" t="s">
        <v>558</v>
      </c>
      <c r="E54" s="3" t="s">
        <v>559</v>
      </c>
      <c r="F54" s="3" t="s">
        <v>381</v>
      </c>
      <c r="G54" s="2" t="s">
        <v>560</v>
      </c>
      <c r="H54" s="2" t="s">
        <v>89</v>
      </c>
      <c r="I54" s="4">
        <v>37678</v>
      </c>
      <c r="J54" s="5">
        <v>360000</v>
      </c>
      <c r="K54" s="50" t="s">
        <v>125</v>
      </c>
      <c r="L54" s="6">
        <v>6912</v>
      </c>
      <c r="M54" s="51">
        <f t="shared" si="0"/>
        <v>52.083333333333336</v>
      </c>
      <c r="N54" s="8">
        <v>10368</v>
      </c>
      <c r="O54" s="67">
        <f t="shared" si="3"/>
        <v>34.72222222222222</v>
      </c>
      <c r="P54" s="10">
        <v>8</v>
      </c>
      <c r="Q54" s="18">
        <f>IF(P54=0,"",+AF54)</f>
        <v>45000</v>
      </c>
      <c r="R54" s="8">
        <v>17555</v>
      </c>
      <c r="S54" s="52" t="s">
        <v>126</v>
      </c>
      <c r="T54" s="2" t="s">
        <v>127</v>
      </c>
      <c r="U54" s="2" t="s">
        <v>93</v>
      </c>
      <c r="V54" s="2" t="s">
        <v>561</v>
      </c>
      <c r="X54" s="3" t="s">
        <v>114</v>
      </c>
      <c r="Y54" s="3" t="s">
        <v>97</v>
      </c>
      <c r="Z54" s="2" t="s">
        <v>130</v>
      </c>
      <c r="AB54" s="55" t="s">
        <v>341</v>
      </c>
      <c r="AF54" s="11">
        <f t="shared" si="2"/>
        <v>45000</v>
      </c>
    </row>
    <row r="55" spans="1:32" ht="12.75">
      <c r="A55" s="3" t="s">
        <v>562</v>
      </c>
      <c r="B55" s="2" t="s">
        <v>377</v>
      </c>
      <c r="C55" s="53" t="s">
        <v>563</v>
      </c>
      <c r="D55" s="3" t="s">
        <v>564</v>
      </c>
      <c r="E55" s="3" t="s">
        <v>565</v>
      </c>
      <c r="F55" s="3" t="s">
        <v>566</v>
      </c>
      <c r="G55" s="2" t="s">
        <v>567</v>
      </c>
      <c r="H55" s="2" t="s">
        <v>89</v>
      </c>
      <c r="I55" s="4">
        <v>37711</v>
      </c>
      <c r="J55" s="5">
        <v>256000</v>
      </c>
      <c r="K55" s="50" t="s">
        <v>125</v>
      </c>
      <c r="L55" s="6">
        <v>6976</v>
      </c>
      <c r="M55" s="51">
        <f t="shared" si="0"/>
        <v>36.69724770642202</v>
      </c>
      <c r="N55" s="8">
        <v>10464</v>
      </c>
      <c r="O55" s="67">
        <f t="shared" si="3"/>
        <v>24.464831804281346</v>
      </c>
      <c r="P55" s="10">
        <v>8</v>
      </c>
      <c r="Q55" s="18">
        <f>IF(P55=0,"",+AF55)</f>
        <v>32000</v>
      </c>
      <c r="R55" s="8">
        <v>16000</v>
      </c>
      <c r="S55" s="52" t="s">
        <v>126</v>
      </c>
      <c r="T55" s="2" t="s">
        <v>127</v>
      </c>
      <c r="U55" s="2" t="s">
        <v>93</v>
      </c>
      <c r="V55" s="2" t="s">
        <v>561</v>
      </c>
      <c r="X55" s="3" t="s">
        <v>96</v>
      </c>
      <c r="Y55" s="3" t="s">
        <v>97</v>
      </c>
      <c r="Z55" s="2" t="s">
        <v>130</v>
      </c>
      <c r="AB55" s="55" t="s">
        <v>341</v>
      </c>
      <c r="AF55" s="11">
        <f t="shared" si="2"/>
        <v>32000</v>
      </c>
    </row>
    <row r="56" spans="1:32" ht="12.75">
      <c r="A56" s="3" t="s">
        <v>568</v>
      </c>
      <c r="B56" s="2" t="s">
        <v>569</v>
      </c>
      <c r="C56" s="3" t="s">
        <v>570</v>
      </c>
      <c r="D56" s="3" t="s">
        <v>571</v>
      </c>
      <c r="E56" s="3" t="s">
        <v>572</v>
      </c>
      <c r="F56" s="3" t="s">
        <v>573</v>
      </c>
      <c r="G56" s="2" t="s">
        <v>574</v>
      </c>
      <c r="H56" s="2" t="s">
        <v>89</v>
      </c>
      <c r="I56" s="4">
        <v>37630</v>
      </c>
      <c r="J56" s="5">
        <v>2372500</v>
      </c>
      <c r="K56" s="50" t="s">
        <v>575</v>
      </c>
      <c r="L56" s="6">
        <v>43382</v>
      </c>
      <c r="M56" s="51">
        <f t="shared" si="0"/>
        <v>54.68858051726522</v>
      </c>
      <c r="N56" s="8">
        <v>47008</v>
      </c>
      <c r="O56" s="51">
        <f t="shared" si="3"/>
        <v>50.47013274336283</v>
      </c>
      <c r="P56" s="10">
        <v>50</v>
      </c>
      <c r="Q56" s="18">
        <f t="shared" si="1"/>
        <v>47500</v>
      </c>
      <c r="R56" s="8">
        <v>12458</v>
      </c>
      <c r="S56" s="52" t="s">
        <v>576</v>
      </c>
      <c r="T56" s="2" t="s">
        <v>127</v>
      </c>
      <c r="U56" s="2" t="s">
        <v>93</v>
      </c>
      <c r="V56" s="2" t="s">
        <v>340</v>
      </c>
      <c r="W56" s="2" t="s">
        <v>577</v>
      </c>
      <c r="X56" s="3" t="s">
        <v>578</v>
      </c>
      <c r="Y56" s="3" t="s">
        <v>508</v>
      </c>
      <c r="Z56" s="2" t="s">
        <v>579</v>
      </c>
      <c r="AB56" s="68" t="s">
        <v>580</v>
      </c>
      <c r="AC56" s="3" t="s">
        <v>581</v>
      </c>
      <c r="AF56" s="11">
        <f t="shared" si="2"/>
        <v>47500</v>
      </c>
    </row>
    <row r="57" spans="1:32" ht="12.75">
      <c r="A57" s="3" t="s">
        <v>582</v>
      </c>
      <c r="B57" s="2" t="s">
        <v>569</v>
      </c>
      <c r="C57" s="3" t="s">
        <v>583</v>
      </c>
      <c r="D57" s="3" t="s">
        <v>584</v>
      </c>
      <c r="E57" s="3" t="s">
        <v>585</v>
      </c>
      <c r="F57" s="3" t="s">
        <v>573</v>
      </c>
      <c r="G57" s="2" t="s">
        <v>586</v>
      </c>
      <c r="H57" s="2" t="s">
        <v>89</v>
      </c>
      <c r="I57" s="4">
        <v>37630</v>
      </c>
      <c r="J57" s="5">
        <v>926000</v>
      </c>
      <c r="K57" s="69" t="s">
        <v>587</v>
      </c>
      <c r="L57" s="6">
        <v>17210</v>
      </c>
      <c r="M57" s="51">
        <f t="shared" si="0"/>
        <v>53.80592678675189</v>
      </c>
      <c r="N57" s="8">
        <v>18178</v>
      </c>
      <c r="O57" s="51">
        <f t="shared" si="3"/>
        <v>50.94069754648476</v>
      </c>
      <c r="P57" s="10">
        <v>43</v>
      </c>
      <c r="Q57" s="18">
        <f t="shared" si="1"/>
        <v>21500</v>
      </c>
      <c r="R57" s="8">
        <v>11790</v>
      </c>
      <c r="S57" s="52" t="s">
        <v>576</v>
      </c>
      <c r="T57" s="2" t="s">
        <v>127</v>
      </c>
      <c r="U57" s="2" t="s">
        <v>93</v>
      </c>
      <c r="V57" s="2" t="s">
        <v>196</v>
      </c>
      <c r="W57" s="2" t="s">
        <v>425</v>
      </c>
      <c r="X57" s="3" t="s">
        <v>114</v>
      </c>
      <c r="Y57" s="3" t="s">
        <v>508</v>
      </c>
      <c r="Z57" s="2" t="s">
        <v>588</v>
      </c>
      <c r="AB57" s="68" t="s">
        <v>589</v>
      </c>
      <c r="AC57" s="3" t="s">
        <v>590</v>
      </c>
      <c r="AF57" s="11">
        <f t="shared" si="2"/>
        <v>21500</v>
      </c>
    </row>
    <row r="58" spans="1:32" ht="12.75">
      <c r="A58" s="3" t="s">
        <v>591</v>
      </c>
      <c r="B58" s="2" t="s">
        <v>592</v>
      </c>
      <c r="C58" s="3" t="s">
        <v>593</v>
      </c>
      <c r="D58" s="3" t="s">
        <v>594</v>
      </c>
      <c r="E58" s="3" t="s">
        <v>595</v>
      </c>
      <c r="F58" s="3" t="s">
        <v>596</v>
      </c>
      <c r="G58" s="2" t="s">
        <v>597</v>
      </c>
      <c r="H58" s="2" t="s">
        <v>89</v>
      </c>
      <c r="I58" s="4">
        <v>37631</v>
      </c>
      <c r="J58" s="5">
        <v>55000</v>
      </c>
      <c r="K58" s="50" t="s">
        <v>432</v>
      </c>
      <c r="L58" s="6">
        <v>384</v>
      </c>
      <c r="M58" s="51">
        <f t="shared" si="0"/>
        <v>143.22916666666666</v>
      </c>
      <c r="N58" s="8">
        <v>624</v>
      </c>
      <c r="O58" s="51">
        <f t="shared" si="3"/>
        <v>88.14102564102564</v>
      </c>
      <c r="Q58" s="18">
        <f t="shared" si="1"/>
      </c>
      <c r="R58" s="8">
        <v>3400</v>
      </c>
      <c r="S58" s="52" t="s">
        <v>91</v>
      </c>
      <c r="T58" s="2" t="s">
        <v>156</v>
      </c>
      <c r="U58" s="2" t="s">
        <v>93</v>
      </c>
      <c r="V58" s="2" t="s">
        <v>598</v>
      </c>
      <c r="X58" s="3" t="s">
        <v>97</v>
      </c>
      <c r="Y58" s="3" t="s">
        <v>97</v>
      </c>
      <c r="Z58" s="2" t="s">
        <v>98</v>
      </c>
      <c r="AB58" s="53" t="s">
        <v>599</v>
      </c>
      <c r="AC58" s="3" t="s">
        <v>600</v>
      </c>
      <c r="AD58" s="3" t="s">
        <v>601</v>
      </c>
      <c r="AF58" s="11" t="e">
        <f t="shared" si="2"/>
        <v>#DIV/0!</v>
      </c>
    </row>
    <row r="59" spans="1:32" ht="12.75">
      <c r="A59" s="3" t="s">
        <v>602</v>
      </c>
      <c r="B59" s="2" t="s">
        <v>592</v>
      </c>
      <c r="C59" s="3" t="s">
        <v>603</v>
      </c>
      <c r="D59" s="3" t="s">
        <v>604</v>
      </c>
      <c r="E59" s="3" t="s">
        <v>605</v>
      </c>
      <c r="F59" s="3" t="s">
        <v>606</v>
      </c>
      <c r="G59" s="2" t="s">
        <v>607</v>
      </c>
      <c r="H59" s="2" t="s">
        <v>89</v>
      </c>
      <c r="I59" s="4">
        <v>37665</v>
      </c>
      <c r="J59" s="5">
        <v>544500</v>
      </c>
      <c r="K59" s="50" t="s">
        <v>608</v>
      </c>
      <c r="L59" s="6">
        <v>7943</v>
      </c>
      <c r="M59" s="51">
        <f t="shared" si="0"/>
        <v>68.55092534306937</v>
      </c>
      <c r="N59" s="8">
        <v>11943</v>
      </c>
      <c r="O59" s="51">
        <f t="shared" si="3"/>
        <v>45.59155990957046</v>
      </c>
      <c r="Q59" s="18">
        <f t="shared" si="1"/>
      </c>
      <c r="R59" s="8">
        <v>8031</v>
      </c>
      <c r="S59" s="52" t="s">
        <v>91</v>
      </c>
      <c r="T59" s="2" t="s">
        <v>609</v>
      </c>
      <c r="U59" s="2" t="s">
        <v>482</v>
      </c>
      <c r="V59" s="2" t="s">
        <v>610</v>
      </c>
      <c r="W59" s="2" t="s">
        <v>113</v>
      </c>
      <c r="X59" s="3" t="s">
        <v>114</v>
      </c>
      <c r="Y59" s="3" t="s">
        <v>97</v>
      </c>
      <c r="Z59" s="2" t="s">
        <v>130</v>
      </c>
      <c r="AB59" s="3" t="s">
        <v>611</v>
      </c>
      <c r="AF59" s="11" t="e">
        <f t="shared" si="2"/>
        <v>#DIV/0!</v>
      </c>
    </row>
    <row r="60" spans="1:34" ht="12.75">
      <c r="A60" s="3" t="s">
        <v>612</v>
      </c>
      <c r="B60" s="2" t="s">
        <v>83</v>
      </c>
      <c r="C60" s="3" t="s">
        <v>613</v>
      </c>
      <c r="D60" s="3" t="s">
        <v>614</v>
      </c>
      <c r="E60" s="3" t="s">
        <v>615</v>
      </c>
      <c r="F60" s="3" t="s">
        <v>616</v>
      </c>
      <c r="G60" s="2" t="s">
        <v>617</v>
      </c>
      <c r="H60" s="2" t="s">
        <v>89</v>
      </c>
      <c r="I60" s="4">
        <v>37763</v>
      </c>
      <c r="J60" s="5">
        <v>1860000</v>
      </c>
      <c r="K60" s="50" t="s">
        <v>618</v>
      </c>
      <c r="L60" s="6">
        <v>12217</v>
      </c>
      <c r="M60" s="51">
        <f t="shared" si="0"/>
        <v>152.24686911680445</v>
      </c>
      <c r="N60" s="8">
        <v>12217</v>
      </c>
      <c r="O60" s="51">
        <f t="shared" si="3"/>
        <v>152.24686911680445</v>
      </c>
      <c r="Q60" s="18">
        <f t="shared" si="1"/>
      </c>
      <c r="R60" s="8">
        <f>65111+53490</f>
        <v>118601</v>
      </c>
      <c r="S60" s="52" t="s">
        <v>181</v>
      </c>
      <c r="T60" s="2" t="s">
        <v>258</v>
      </c>
      <c r="U60" s="2" t="s">
        <v>93</v>
      </c>
      <c r="V60" s="2" t="s">
        <v>619</v>
      </c>
      <c r="X60" s="3" t="s">
        <v>620</v>
      </c>
      <c r="Y60" s="3" t="s">
        <v>160</v>
      </c>
      <c r="Z60" s="2" t="s">
        <v>98</v>
      </c>
      <c r="AB60" s="3" t="s">
        <v>621</v>
      </c>
      <c r="AC60" s="3" t="s">
        <v>622</v>
      </c>
      <c r="AD60" s="3" t="s">
        <v>623</v>
      </c>
      <c r="AE60" s="3" t="s">
        <v>624</v>
      </c>
      <c r="AF60" s="11" t="e">
        <f t="shared" si="2"/>
        <v>#DIV/0!</v>
      </c>
      <c r="AH60" s="11">
        <f>60*140</f>
        <v>8400</v>
      </c>
    </row>
    <row r="61" spans="1:32" ht="12.75">
      <c r="A61" s="3" t="s">
        <v>625</v>
      </c>
      <c r="B61" s="2" t="s">
        <v>569</v>
      </c>
      <c r="C61" s="3" t="s">
        <v>626</v>
      </c>
      <c r="D61" s="3" t="s">
        <v>627</v>
      </c>
      <c r="E61" s="3" t="s">
        <v>628</v>
      </c>
      <c r="F61" s="3" t="s">
        <v>629</v>
      </c>
      <c r="G61" s="2" t="s">
        <v>630</v>
      </c>
      <c r="H61" s="2" t="s">
        <v>89</v>
      </c>
      <c r="I61" s="4">
        <v>37755</v>
      </c>
      <c r="J61" s="5">
        <v>2000000</v>
      </c>
      <c r="K61" s="50" t="s">
        <v>631</v>
      </c>
      <c r="L61" s="6">
        <v>14478</v>
      </c>
      <c r="M61" s="51">
        <f t="shared" si="0"/>
        <v>138.1406271584473</v>
      </c>
      <c r="N61" s="8">
        <v>20410</v>
      </c>
      <c r="O61" s="51">
        <f t="shared" si="3"/>
        <v>97.99118079372856</v>
      </c>
      <c r="P61" s="10">
        <v>14</v>
      </c>
      <c r="Q61" s="18">
        <f t="shared" si="1"/>
        <v>142900</v>
      </c>
      <c r="R61" s="8">
        <v>6534</v>
      </c>
      <c r="S61" s="52" t="s">
        <v>91</v>
      </c>
      <c r="T61" s="2" t="s">
        <v>127</v>
      </c>
      <c r="U61" s="2" t="s">
        <v>93</v>
      </c>
      <c r="V61" s="2" t="s">
        <v>632</v>
      </c>
      <c r="X61" s="3" t="s">
        <v>633</v>
      </c>
      <c r="Y61" s="3" t="s">
        <v>160</v>
      </c>
      <c r="Z61" s="2" t="s">
        <v>147</v>
      </c>
      <c r="AB61" s="68" t="s">
        <v>634</v>
      </c>
      <c r="AC61" s="68" t="s">
        <v>635</v>
      </c>
      <c r="AF61" s="11">
        <f t="shared" si="2"/>
        <v>142900</v>
      </c>
    </row>
    <row r="62" spans="1:32" ht="12.75">
      <c r="A62" s="3" t="s">
        <v>636</v>
      </c>
      <c r="B62" s="2" t="s">
        <v>174</v>
      </c>
      <c r="C62" s="3" t="s">
        <v>637</v>
      </c>
      <c r="D62" s="3" t="s">
        <v>638</v>
      </c>
      <c r="E62" s="3" t="s">
        <v>639</v>
      </c>
      <c r="F62" s="3" t="s">
        <v>640</v>
      </c>
      <c r="G62" s="2" t="s">
        <v>641</v>
      </c>
      <c r="H62" s="2" t="s">
        <v>89</v>
      </c>
      <c r="I62" s="4">
        <v>37701</v>
      </c>
      <c r="J62" s="5">
        <v>220000</v>
      </c>
      <c r="K62" s="50" t="s">
        <v>432</v>
      </c>
      <c r="L62" s="6">
        <v>2025</v>
      </c>
      <c r="M62" s="51">
        <f t="shared" si="0"/>
        <v>108.64197530864197</v>
      </c>
      <c r="N62" s="8">
        <v>2025</v>
      </c>
      <c r="O62" s="51">
        <f t="shared" si="3"/>
        <v>108.64197530864197</v>
      </c>
      <c r="Q62" s="18">
        <f t="shared" si="1"/>
      </c>
      <c r="R62" s="8">
        <v>17262.71</v>
      </c>
      <c r="S62" s="52" t="s">
        <v>181</v>
      </c>
      <c r="T62" s="2" t="s">
        <v>642</v>
      </c>
      <c r="U62" s="2" t="s">
        <v>93</v>
      </c>
      <c r="V62" s="2" t="s">
        <v>561</v>
      </c>
      <c r="X62" s="3" t="s">
        <v>299</v>
      </c>
      <c r="Y62" s="3" t="s">
        <v>160</v>
      </c>
      <c r="Z62" s="2" t="s">
        <v>98</v>
      </c>
      <c r="AB62" s="3" t="s">
        <v>643</v>
      </c>
      <c r="AC62" s="53" t="s">
        <v>644</v>
      </c>
      <c r="AF62" s="11" t="e">
        <f t="shared" si="2"/>
        <v>#DIV/0!</v>
      </c>
    </row>
    <row r="63" spans="1:32" ht="12.75">
      <c r="A63" s="3" t="s">
        <v>645</v>
      </c>
      <c r="B63" s="2" t="s">
        <v>137</v>
      </c>
      <c r="C63" s="3" t="s">
        <v>646</v>
      </c>
      <c r="D63" s="3" t="s">
        <v>647</v>
      </c>
      <c r="E63" s="3" t="s">
        <v>648</v>
      </c>
      <c r="F63" s="3" t="s">
        <v>649</v>
      </c>
      <c r="G63" s="2" t="s">
        <v>650</v>
      </c>
      <c r="H63" s="2" t="s">
        <v>89</v>
      </c>
      <c r="I63" s="4">
        <v>37655</v>
      </c>
      <c r="J63" s="5">
        <v>616000</v>
      </c>
      <c r="K63" s="50" t="s">
        <v>651</v>
      </c>
      <c r="L63" s="6">
        <v>12020</v>
      </c>
      <c r="M63" s="51">
        <f t="shared" si="0"/>
        <v>51.24792013311148</v>
      </c>
      <c r="N63" s="8">
        <v>12020</v>
      </c>
      <c r="O63" s="51">
        <f t="shared" si="3"/>
        <v>51.24792013311148</v>
      </c>
      <c r="Q63" s="18">
        <f t="shared" si="1"/>
      </c>
      <c r="R63" s="8">
        <v>104285</v>
      </c>
      <c r="S63" s="52" t="s">
        <v>286</v>
      </c>
      <c r="T63" s="2" t="s">
        <v>287</v>
      </c>
      <c r="U63" s="2" t="s">
        <v>93</v>
      </c>
      <c r="V63" s="2" t="s">
        <v>95</v>
      </c>
      <c r="X63" s="3" t="s">
        <v>532</v>
      </c>
      <c r="Y63" s="3" t="s">
        <v>183</v>
      </c>
      <c r="Z63" s="2" t="s">
        <v>98</v>
      </c>
      <c r="AB63" s="53" t="s">
        <v>652</v>
      </c>
      <c r="AF63" s="11" t="e">
        <f t="shared" si="2"/>
        <v>#DIV/0!</v>
      </c>
    </row>
    <row r="64" spans="1:32" ht="12.75">
      <c r="A64" s="3" t="s">
        <v>653</v>
      </c>
      <c r="B64" s="2" t="s">
        <v>224</v>
      </c>
      <c r="C64" s="3" t="s">
        <v>654</v>
      </c>
      <c r="D64" s="3" t="s">
        <v>655</v>
      </c>
      <c r="E64" s="3" t="s">
        <v>656</v>
      </c>
      <c r="F64" s="3" t="s">
        <v>657</v>
      </c>
      <c r="G64" s="2" t="s">
        <v>658</v>
      </c>
      <c r="H64" s="2" t="s">
        <v>89</v>
      </c>
      <c r="I64" s="4">
        <v>37908</v>
      </c>
      <c r="J64" s="5">
        <v>7250000</v>
      </c>
      <c r="K64" s="50" t="s">
        <v>90</v>
      </c>
      <c r="L64" s="6">
        <v>107832</v>
      </c>
      <c r="M64" s="51">
        <f t="shared" si="0"/>
        <v>67.23421618814452</v>
      </c>
      <c r="N64" s="8">
        <v>107832</v>
      </c>
      <c r="O64" s="51">
        <f t="shared" si="3"/>
        <v>67.23421618814452</v>
      </c>
      <c r="Q64" s="18">
        <f t="shared" si="1"/>
      </c>
      <c r="R64" s="8">
        <v>395533</v>
      </c>
      <c r="S64" s="52" t="s">
        <v>91</v>
      </c>
      <c r="T64" s="2" t="s">
        <v>206</v>
      </c>
      <c r="U64" s="2" t="s">
        <v>93</v>
      </c>
      <c r="V64" s="2" t="s">
        <v>230</v>
      </c>
      <c r="W64" s="2" t="s">
        <v>619</v>
      </c>
      <c r="X64" s="3" t="s">
        <v>659</v>
      </c>
      <c r="Y64" s="3" t="s">
        <v>306</v>
      </c>
      <c r="Z64" s="2" t="s">
        <v>147</v>
      </c>
      <c r="AB64" s="3" t="s">
        <v>660</v>
      </c>
      <c r="AC64" s="3" t="s">
        <v>661</v>
      </c>
      <c r="AD64" s="3" t="s">
        <v>662</v>
      </c>
      <c r="AE64" s="3" t="s">
        <v>663</v>
      </c>
      <c r="AF64" s="11" t="e">
        <f t="shared" si="2"/>
        <v>#DIV/0!</v>
      </c>
    </row>
    <row r="65" spans="1:32" ht="12.75">
      <c r="A65" s="3" t="s">
        <v>664</v>
      </c>
      <c r="B65" s="2" t="s">
        <v>592</v>
      </c>
      <c r="C65" s="3" t="s">
        <v>665</v>
      </c>
      <c r="D65" s="3" t="s">
        <v>666</v>
      </c>
      <c r="E65" s="3" t="s">
        <v>667</v>
      </c>
      <c r="F65" s="3" t="s">
        <v>668</v>
      </c>
      <c r="G65" s="2" t="s">
        <v>669</v>
      </c>
      <c r="H65" s="2" t="s">
        <v>89</v>
      </c>
      <c r="I65" s="4">
        <v>37914</v>
      </c>
      <c r="J65" s="5">
        <v>202000</v>
      </c>
      <c r="K65" s="50" t="s">
        <v>670</v>
      </c>
      <c r="L65" s="6">
        <v>1073</v>
      </c>
      <c r="M65" s="51">
        <f t="shared" si="0"/>
        <v>188.25722273998136</v>
      </c>
      <c r="N65" s="8">
        <v>1073</v>
      </c>
      <c r="O65" s="51">
        <f t="shared" si="3"/>
        <v>188.25722273998136</v>
      </c>
      <c r="Q65" s="18">
        <f t="shared" si="1"/>
      </c>
      <c r="S65" s="52" t="s">
        <v>356</v>
      </c>
      <c r="T65" s="2" t="s">
        <v>671</v>
      </c>
      <c r="U65" s="2" t="s">
        <v>93</v>
      </c>
      <c r="V65" s="2" t="s">
        <v>672</v>
      </c>
      <c r="X65" s="3" t="s">
        <v>114</v>
      </c>
      <c r="Y65" s="3" t="s">
        <v>115</v>
      </c>
      <c r="Z65" s="2" t="s">
        <v>98</v>
      </c>
      <c r="AB65" s="3" t="s">
        <v>673</v>
      </c>
      <c r="AC65" s="53"/>
      <c r="AF65" s="11" t="e">
        <f t="shared" si="2"/>
        <v>#DIV/0!</v>
      </c>
    </row>
    <row r="66" spans="1:32" ht="12.75">
      <c r="A66" s="3" t="s">
        <v>674</v>
      </c>
      <c r="B66" s="2" t="s">
        <v>174</v>
      </c>
      <c r="C66" s="3" t="s">
        <v>675</v>
      </c>
      <c r="D66" s="3" t="s">
        <v>676</v>
      </c>
      <c r="E66" s="3" t="s">
        <v>677</v>
      </c>
      <c r="F66" s="3" t="s">
        <v>678</v>
      </c>
      <c r="G66" s="2" t="s">
        <v>679</v>
      </c>
      <c r="H66" s="2" t="s">
        <v>680</v>
      </c>
      <c r="I66" s="4">
        <v>37909</v>
      </c>
      <c r="J66" s="5">
        <v>250000</v>
      </c>
      <c r="K66" s="50" t="s">
        <v>681</v>
      </c>
      <c r="L66" s="6">
        <v>5120</v>
      </c>
      <c r="M66" s="51">
        <f t="shared" si="0"/>
        <v>48.828125</v>
      </c>
      <c r="N66" s="8">
        <v>5120</v>
      </c>
      <c r="O66" s="51">
        <f t="shared" si="3"/>
        <v>48.828125</v>
      </c>
      <c r="Q66" s="18">
        <f t="shared" si="1"/>
      </c>
      <c r="R66" s="8">
        <v>25603</v>
      </c>
      <c r="S66" s="52" t="s">
        <v>433</v>
      </c>
      <c r="T66" s="2" t="s">
        <v>682</v>
      </c>
      <c r="U66" s="2" t="s">
        <v>396</v>
      </c>
      <c r="V66" s="2" t="s">
        <v>157</v>
      </c>
      <c r="X66" s="3" t="s">
        <v>683</v>
      </c>
      <c r="Y66" s="3" t="s">
        <v>684</v>
      </c>
      <c r="Z66" s="2" t="s">
        <v>98</v>
      </c>
      <c r="AB66" s="3" t="s">
        <v>685</v>
      </c>
      <c r="AC66" s="3" t="s">
        <v>686</v>
      </c>
      <c r="AF66" s="11" t="e">
        <f t="shared" si="2"/>
        <v>#DIV/0!</v>
      </c>
    </row>
    <row r="67" spans="1:32" ht="12.75">
      <c r="A67" s="3" t="s">
        <v>687</v>
      </c>
      <c r="B67" s="2" t="s">
        <v>224</v>
      </c>
      <c r="C67" s="3" t="s">
        <v>688</v>
      </c>
      <c r="D67" s="3" t="s">
        <v>689</v>
      </c>
      <c r="E67" s="3" t="s">
        <v>690</v>
      </c>
      <c r="F67" s="3" t="s">
        <v>691</v>
      </c>
      <c r="G67" s="2" t="s">
        <v>692</v>
      </c>
      <c r="H67" s="2" t="s">
        <v>89</v>
      </c>
      <c r="I67" s="4">
        <v>37925</v>
      </c>
      <c r="J67" s="5">
        <v>900000</v>
      </c>
      <c r="K67" s="50" t="s">
        <v>110</v>
      </c>
      <c r="L67" s="6">
        <v>11219</v>
      </c>
      <c r="M67" s="51">
        <f t="shared" si="0"/>
        <v>80.22105356983688</v>
      </c>
      <c r="N67" s="8">
        <v>11219</v>
      </c>
      <c r="O67" s="51">
        <f t="shared" si="3"/>
        <v>80.22105356983688</v>
      </c>
      <c r="Q67" s="18">
        <f t="shared" si="1"/>
      </c>
      <c r="R67" s="8">
        <v>46928</v>
      </c>
      <c r="S67" s="52" t="s">
        <v>111</v>
      </c>
      <c r="T67" s="2" t="s">
        <v>182</v>
      </c>
      <c r="U67" s="2" t="s">
        <v>93</v>
      </c>
      <c r="V67" s="2" t="s">
        <v>425</v>
      </c>
      <c r="W67" s="2" t="s">
        <v>693</v>
      </c>
      <c r="X67" s="3" t="s">
        <v>114</v>
      </c>
      <c r="Y67" s="3" t="s">
        <v>97</v>
      </c>
      <c r="Z67" s="2" t="s">
        <v>98</v>
      </c>
      <c r="AB67" s="3" t="s">
        <v>694</v>
      </c>
      <c r="AF67" s="11" t="e">
        <f t="shared" si="2"/>
        <v>#DIV/0!</v>
      </c>
    </row>
    <row r="68" spans="1:32" ht="12.75">
      <c r="A68" s="3" t="s">
        <v>695</v>
      </c>
      <c r="B68" s="2" t="s">
        <v>83</v>
      </c>
      <c r="C68" s="3" t="s">
        <v>696</v>
      </c>
      <c r="D68" s="3" t="s">
        <v>697</v>
      </c>
      <c r="E68" s="3" t="s">
        <v>698</v>
      </c>
      <c r="F68" s="3" t="s">
        <v>699</v>
      </c>
      <c r="G68" s="2" t="s">
        <v>700</v>
      </c>
      <c r="H68" s="2" t="s">
        <v>89</v>
      </c>
      <c r="I68" s="4">
        <v>37656</v>
      </c>
      <c r="J68" s="5">
        <v>375000</v>
      </c>
      <c r="K68" s="50" t="s">
        <v>314</v>
      </c>
      <c r="L68" s="6">
        <f>9338+4408</f>
        <v>13746</v>
      </c>
      <c r="M68" s="51">
        <f t="shared" si="0"/>
        <v>27.280663465735486</v>
      </c>
      <c r="N68" s="8">
        <v>13746</v>
      </c>
      <c r="O68" s="51">
        <f t="shared" si="3"/>
        <v>27.280663465735486</v>
      </c>
      <c r="Q68" s="18">
        <f t="shared" si="1"/>
      </c>
      <c r="R68" s="8">
        <v>23952</v>
      </c>
      <c r="S68" s="52" t="s">
        <v>111</v>
      </c>
      <c r="T68" s="2" t="s">
        <v>315</v>
      </c>
      <c r="U68" s="2" t="s">
        <v>93</v>
      </c>
      <c r="V68" s="2" t="s">
        <v>158</v>
      </c>
      <c r="W68" s="2" t="s">
        <v>397</v>
      </c>
      <c r="X68" s="3" t="s">
        <v>248</v>
      </c>
      <c r="Y68" s="3" t="s">
        <v>160</v>
      </c>
      <c r="Z68" s="2" t="s">
        <v>98</v>
      </c>
      <c r="AB68" s="3" t="s">
        <v>701</v>
      </c>
      <c r="AF68" s="11" t="e">
        <f t="shared" si="2"/>
        <v>#DIV/0!</v>
      </c>
    </row>
    <row r="69" spans="1:32" ht="12.75">
      <c r="A69" s="3" t="s">
        <v>702</v>
      </c>
      <c r="B69" s="2" t="s">
        <v>104</v>
      </c>
      <c r="C69" s="3" t="s">
        <v>703</v>
      </c>
      <c r="D69" s="3" t="s">
        <v>704</v>
      </c>
      <c r="E69" s="3" t="s">
        <v>705</v>
      </c>
      <c r="F69" s="3" t="s">
        <v>706</v>
      </c>
      <c r="G69" s="2" t="s">
        <v>707</v>
      </c>
      <c r="H69" s="2" t="s">
        <v>89</v>
      </c>
      <c r="I69" s="4">
        <v>37921</v>
      </c>
      <c r="J69" s="5">
        <v>5895000</v>
      </c>
      <c r="K69" s="50" t="s">
        <v>708</v>
      </c>
      <c r="L69" s="6">
        <v>49257</v>
      </c>
      <c r="M69" s="51">
        <f t="shared" si="0"/>
        <v>119.67842134112918</v>
      </c>
      <c r="N69" s="8">
        <v>49257</v>
      </c>
      <c r="O69" s="51">
        <f t="shared" si="3"/>
        <v>119.67842134112918</v>
      </c>
      <c r="Q69" s="18">
        <f t="shared" si="1"/>
      </c>
      <c r="R69" s="8">
        <v>173982</v>
      </c>
      <c r="S69" s="52" t="s">
        <v>181</v>
      </c>
      <c r="T69" s="2" t="s">
        <v>112</v>
      </c>
      <c r="U69" s="2" t="s">
        <v>93</v>
      </c>
      <c r="V69" s="2" t="s">
        <v>709</v>
      </c>
      <c r="X69" s="3" t="s">
        <v>299</v>
      </c>
      <c r="Y69" s="3" t="s">
        <v>115</v>
      </c>
      <c r="Z69" s="2" t="s">
        <v>98</v>
      </c>
      <c r="AB69" s="3" t="s">
        <v>710</v>
      </c>
      <c r="AC69" s="3" t="s">
        <v>711</v>
      </c>
      <c r="AF69" s="11" t="e">
        <f t="shared" si="2"/>
        <v>#DIV/0!</v>
      </c>
    </row>
    <row r="70" spans="1:32" ht="12.75">
      <c r="A70" s="3" t="s">
        <v>712</v>
      </c>
      <c r="B70" s="2" t="s">
        <v>83</v>
      </c>
      <c r="C70" s="3" t="s">
        <v>713</v>
      </c>
      <c r="D70" s="3" t="s">
        <v>714</v>
      </c>
      <c r="E70" s="3" t="s">
        <v>715</v>
      </c>
      <c r="F70" s="3" t="s">
        <v>716</v>
      </c>
      <c r="G70" s="2" t="s">
        <v>717</v>
      </c>
      <c r="H70" s="2" t="s">
        <v>367</v>
      </c>
      <c r="I70" s="4">
        <v>37940</v>
      </c>
      <c r="J70" s="5">
        <v>275000</v>
      </c>
      <c r="K70" s="50" t="s">
        <v>530</v>
      </c>
      <c r="L70" s="6">
        <f>40*86</f>
        <v>3440</v>
      </c>
      <c r="M70" s="51">
        <f t="shared" si="0"/>
        <v>79.94186046511628</v>
      </c>
      <c r="N70" s="8">
        <v>3440</v>
      </c>
      <c r="O70" s="51">
        <f t="shared" si="3"/>
        <v>79.94186046511628</v>
      </c>
      <c r="Q70" s="18">
        <f t="shared" si="1"/>
      </c>
      <c r="R70" s="8">
        <v>13585</v>
      </c>
      <c r="S70" s="52" t="s">
        <v>181</v>
      </c>
      <c r="T70" s="2" t="s">
        <v>531</v>
      </c>
      <c r="U70" s="2" t="s">
        <v>93</v>
      </c>
      <c r="V70" s="2" t="s">
        <v>384</v>
      </c>
      <c r="X70" s="3" t="s">
        <v>299</v>
      </c>
      <c r="Y70" s="3" t="s">
        <v>160</v>
      </c>
      <c r="Z70" s="2" t="s">
        <v>98</v>
      </c>
      <c r="AB70" s="3" t="s">
        <v>718</v>
      </c>
      <c r="AF70" s="11" t="e">
        <f>ROUND(+#REF!/P70,-2)</f>
        <v>#REF!</v>
      </c>
    </row>
    <row r="71" spans="1:32" ht="12.75">
      <c r="A71" s="3" t="s">
        <v>719</v>
      </c>
      <c r="B71" s="2" t="s">
        <v>720</v>
      </c>
      <c r="C71" s="3" t="s">
        <v>721</v>
      </c>
      <c r="D71" s="3" t="s">
        <v>722</v>
      </c>
      <c r="E71" s="3" t="s">
        <v>723</v>
      </c>
      <c r="F71" s="3" t="s">
        <v>724</v>
      </c>
      <c r="G71" s="2" t="s">
        <v>725</v>
      </c>
      <c r="H71" s="2" t="s">
        <v>89</v>
      </c>
      <c r="I71" s="4">
        <v>37706</v>
      </c>
      <c r="J71" s="5">
        <v>200000</v>
      </c>
      <c r="K71" s="50" t="s">
        <v>726</v>
      </c>
      <c r="L71" s="6">
        <v>3564</v>
      </c>
      <c r="M71" s="51">
        <f t="shared" si="0"/>
        <v>56.11672278338945</v>
      </c>
      <c r="N71" s="8">
        <v>5346</v>
      </c>
      <c r="O71" s="51">
        <f t="shared" si="3"/>
        <v>37.41114852225963</v>
      </c>
      <c r="P71" s="10">
        <v>2</v>
      </c>
      <c r="Q71" s="18">
        <f t="shared" si="1"/>
        <v>100000</v>
      </c>
      <c r="R71" s="70">
        <v>2340</v>
      </c>
      <c r="S71" s="52" t="s">
        <v>91</v>
      </c>
      <c r="T71" s="2" t="s">
        <v>370</v>
      </c>
      <c r="U71" s="2" t="s">
        <v>396</v>
      </c>
      <c r="V71" s="2" t="s">
        <v>727</v>
      </c>
      <c r="X71" s="3" t="s">
        <v>578</v>
      </c>
      <c r="Y71" s="3" t="s">
        <v>97</v>
      </c>
      <c r="Z71" s="2" t="s">
        <v>130</v>
      </c>
      <c r="AB71" s="68" t="s">
        <v>728</v>
      </c>
      <c r="AC71" s="3" t="s">
        <v>729</v>
      </c>
      <c r="AF71" s="11">
        <f t="shared" si="2"/>
        <v>100000</v>
      </c>
    </row>
    <row r="72" spans="1:32" ht="12.75">
      <c r="A72" s="3" t="s">
        <v>730</v>
      </c>
      <c r="B72" s="2" t="s">
        <v>720</v>
      </c>
      <c r="C72" s="3" t="s">
        <v>731</v>
      </c>
      <c r="D72" s="3" t="s">
        <v>732</v>
      </c>
      <c r="E72" s="3" t="s">
        <v>733</v>
      </c>
      <c r="F72" s="3" t="s">
        <v>724</v>
      </c>
      <c r="G72" s="2" t="s">
        <v>734</v>
      </c>
      <c r="H72" s="2" t="s">
        <v>367</v>
      </c>
      <c r="I72" s="4">
        <v>37908</v>
      </c>
      <c r="J72" s="5">
        <v>270000</v>
      </c>
      <c r="K72" s="50" t="s">
        <v>726</v>
      </c>
      <c r="L72" s="6">
        <v>3638</v>
      </c>
      <c r="M72" s="51">
        <f t="shared" si="0"/>
        <v>74.21660252886201</v>
      </c>
      <c r="N72" s="8">
        <v>3638</v>
      </c>
      <c r="O72" s="51">
        <f t="shared" si="3"/>
        <v>74.21660252886201</v>
      </c>
      <c r="P72" s="10">
        <v>3</v>
      </c>
      <c r="Q72" s="18">
        <f t="shared" si="1"/>
        <v>90000</v>
      </c>
      <c r="R72" s="8">
        <v>4356</v>
      </c>
      <c r="S72" s="52" t="s">
        <v>91</v>
      </c>
      <c r="T72" s="2" t="s">
        <v>370</v>
      </c>
      <c r="U72" s="2" t="s">
        <v>93</v>
      </c>
      <c r="V72" s="2" t="s">
        <v>340</v>
      </c>
      <c r="X72" s="3" t="s">
        <v>114</v>
      </c>
      <c r="Y72" s="3" t="s">
        <v>306</v>
      </c>
      <c r="Z72" s="2" t="s">
        <v>130</v>
      </c>
      <c r="AB72" s="3" t="s">
        <v>735</v>
      </c>
      <c r="AC72" s="68" t="s">
        <v>736</v>
      </c>
      <c r="AF72" s="11">
        <f t="shared" si="2"/>
        <v>90000</v>
      </c>
    </row>
    <row r="73" spans="1:32" ht="12.75">
      <c r="A73" s="3" t="s">
        <v>737</v>
      </c>
      <c r="B73" s="2" t="s">
        <v>738</v>
      </c>
      <c r="C73" s="3" t="s">
        <v>739</v>
      </c>
      <c r="D73" s="3" t="s">
        <v>740</v>
      </c>
      <c r="E73" s="3" t="s">
        <v>741</v>
      </c>
      <c r="F73" s="3" t="s">
        <v>742</v>
      </c>
      <c r="G73" s="2" t="s">
        <v>743</v>
      </c>
      <c r="H73" s="2" t="s">
        <v>89</v>
      </c>
      <c r="I73" s="4">
        <v>37674</v>
      </c>
      <c r="J73" s="5">
        <v>660000</v>
      </c>
      <c r="K73" s="50" t="s">
        <v>90</v>
      </c>
      <c r="L73" s="6">
        <v>9842</v>
      </c>
      <c r="M73" s="51">
        <f t="shared" si="0"/>
        <v>67.05954074375127</v>
      </c>
      <c r="N73" s="8">
        <v>10713</v>
      </c>
      <c r="O73" s="51">
        <f t="shared" si="3"/>
        <v>61.60739288714646</v>
      </c>
      <c r="Q73" s="18">
        <f t="shared" si="1"/>
      </c>
      <c r="R73" s="8">
        <v>7847</v>
      </c>
      <c r="S73" s="52" t="s">
        <v>91</v>
      </c>
      <c r="T73" s="2" t="s">
        <v>206</v>
      </c>
      <c r="U73" s="2" t="s">
        <v>93</v>
      </c>
      <c r="V73" s="2" t="s">
        <v>158</v>
      </c>
      <c r="X73" s="3" t="s">
        <v>633</v>
      </c>
      <c r="Y73" s="3" t="s">
        <v>306</v>
      </c>
      <c r="Z73" s="2" t="s">
        <v>147</v>
      </c>
      <c r="AB73" s="3" t="s">
        <v>744</v>
      </c>
      <c r="AC73" s="3" t="s">
        <v>745</v>
      </c>
      <c r="AF73" s="11" t="e">
        <f t="shared" si="2"/>
        <v>#DIV/0!</v>
      </c>
    </row>
    <row r="74" spans="1:32" ht="12.75">
      <c r="A74" s="3" t="s">
        <v>746</v>
      </c>
      <c r="B74" s="2" t="s">
        <v>720</v>
      </c>
      <c r="C74" s="3" t="s">
        <v>747</v>
      </c>
      <c r="D74" s="3" t="s">
        <v>748</v>
      </c>
      <c r="E74" s="3" t="s">
        <v>749</v>
      </c>
      <c r="F74" s="3" t="s">
        <v>750</v>
      </c>
      <c r="G74" s="2" t="s">
        <v>751</v>
      </c>
      <c r="H74" s="2" t="s">
        <v>89</v>
      </c>
      <c r="I74" s="4">
        <v>37929</v>
      </c>
      <c r="J74" s="5">
        <v>440000</v>
      </c>
      <c r="K74" s="50" t="s">
        <v>432</v>
      </c>
      <c r="L74" s="6">
        <v>6825</v>
      </c>
      <c r="M74" s="51">
        <f t="shared" si="0"/>
        <v>64.46886446886447</v>
      </c>
      <c r="N74" s="8">
        <v>6825</v>
      </c>
      <c r="O74" s="51">
        <f t="shared" si="3"/>
        <v>64.46886446886447</v>
      </c>
      <c r="Q74" s="18">
        <f t="shared" si="1"/>
      </c>
      <c r="R74" s="8">
        <v>14864</v>
      </c>
      <c r="S74" s="52" t="s">
        <v>181</v>
      </c>
      <c r="T74" s="2" t="s">
        <v>752</v>
      </c>
      <c r="U74" s="2" t="s">
        <v>93</v>
      </c>
      <c r="V74" s="2" t="s">
        <v>384</v>
      </c>
      <c r="X74" s="3" t="s">
        <v>260</v>
      </c>
      <c r="Y74" s="3" t="s">
        <v>306</v>
      </c>
      <c r="Z74" s="2" t="s">
        <v>98</v>
      </c>
      <c r="AB74" s="3" t="s">
        <v>753</v>
      </c>
      <c r="AC74" s="3" t="s">
        <v>754</v>
      </c>
      <c r="AF74" s="11" t="e">
        <f t="shared" si="2"/>
        <v>#DIV/0!</v>
      </c>
    </row>
    <row r="75" spans="1:32" ht="12.75">
      <c r="A75" s="3" t="s">
        <v>755</v>
      </c>
      <c r="B75" s="2" t="s">
        <v>720</v>
      </c>
      <c r="C75" s="3" t="s">
        <v>756</v>
      </c>
      <c r="D75" s="3" t="s">
        <v>757</v>
      </c>
      <c r="E75" s="3" t="s">
        <v>758</v>
      </c>
      <c r="F75" s="3" t="s">
        <v>759</v>
      </c>
      <c r="G75" s="2" t="s">
        <v>760</v>
      </c>
      <c r="H75" s="2" t="s">
        <v>89</v>
      </c>
      <c r="I75" s="4">
        <v>37905</v>
      </c>
      <c r="J75" s="5">
        <v>480000</v>
      </c>
      <c r="K75" s="69" t="s">
        <v>125</v>
      </c>
      <c r="L75" s="6">
        <v>5586</v>
      </c>
      <c r="M75" s="51">
        <f aca="true" t="shared" si="4" ref="M75:M99">+J75/L75</f>
        <v>85.92910848549947</v>
      </c>
      <c r="N75" s="8">
        <v>8379</v>
      </c>
      <c r="O75" s="51">
        <f t="shared" si="3"/>
        <v>57.28607232366631</v>
      </c>
      <c r="P75" s="10">
        <v>8</v>
      </c>
      <c r="Q75" s="18">
        <f aca="true" t="shared" si="5" ref="Q75:Q95">IF(P75=0,"",+AF75)</f>
        <v>60000</v>
      </c>
      <c r="R75" s="8">
        <v>12705</v>
      </c>
      <c r="S75" s="52" t="s">
        <v>195</v>
      </c>
      <c r="T75" s="2" t="s">
        <v>127</v>
      </c>
      <c r="U75" s="2" t="s">
        <v>93</v>
      </c>
      <c r="V75" s="2" t="s">
        <v>561</v>
      </c>
      <c r="X75" s="3" t="s">
        <v>114</v>
      </c>
      <c r="Y75" s="3" t="s">
        <v>97</v>
      </c>
      <c r="Z75" s="2" t="s">
        <v>130</v>
      </c>
      <c r="AB75" s="3" t="s">
        <v>761</v>
      </c>
      <c r="AF75" s="11">
        <f aca="true" t="shared" si="6" ref="AF75:AF91">ROUND(+J75/P75,-2)</f>
        <v>60000</v>
      </c>
    </row>
    <row r="76" spans="1:32" ht="12.75">
      <c r="A76" s="3" t="s">
        <v>762</v>
      </c>
      <c r="B76" s="2" t="s">
        <v>592</v>
      </c>
      <c r="C76" s="3" t="s">
        <v>763</v>
      </c>
      <c r="D76" s="3" t="s">
        <v>764</v>
      </c>
      <c r="E76" s="3" t="s">
        <v>765</v>
      </c>
      <c r="F76" s="3" t="s">
        <v>766</v>
      </c>
      <c r="G76" s="2" t="s">
        <v>767</v>
      </c>
      <c r="H76" s="2" t="s">
        <v>89</v>
      </c>
      <c r="I76" s="4">
        <v>37893</v>
      </c>
      <c r="J76" s="5">
        <v>240000</v>
      </c>
      <c r="K76" s="50" t="s">
        <v>768</v>
      </c>
      <c r="L76" s="6">
        <v>2189</v>
      </c>
      <c r="M76" s="51">
        <f t="shared" si="4"/>
        <v>109.63910461397899</v>
      </c>
      <c r="N76" s="8">
        <v>3833</v>
      </c>
      <c r="O76" s="51">
        <f aca="true" t="shared" si="7" ref="O76:O99">+J76/N76</f>
        <v>62.61414036003131</v>
      </c>
      <c r="P76" s="10">
        <v>1</v>
      </c>
      <c r="Q76" s="18">
        <f t="shared" si="5"/>
        <v>240000</v>
      </c>
      <c r="R76" s="8">
        <v>5192</v>
      </c>
      <c r="S76" s="52" t="s">
        <v>91</v>
      </c>
      <c r="T76" s="2" t="s">
        <v>370</v>
      </c>
      <c r="U76" s="2" t="s">
        <v>93</v>
      </c>
      <c r="V76" s="2" t="s">
        <v>769</v>
      </c>
      <c r="W76" s="2" t="s">
        <v>770</v>
      </c>
      <c r="X76" s="3" t="s">
        <v>771</v>
      </c>
      <c r="Y76" s="3" t="s">
        <v>97</v>
      </c>
      <c r="Z76" s="2" t="s">
        <v>130</v>
      </c>
      <c r="AB76" s="3" t="s">
        <v>772</v>
      </c>
      <c r="AC76" s="3" t="s">
        <v>773</v>
      </c>
      <c r="AD76" s="3" t="s">
        <v>774</v>
      </c>
      <c r="AF76" s="11">
        <f t="shared" si="6"/>
        <v>240000</v>
      </c>
    </row>
    <row r="77" spans="1:32" ht="12.75">
      <c r="A77" s="3" t="s">
        <v>775</v>
      </c>
      <c r="B77" s="2" t="s">
        <v>119</v>
      </c>
      <c r="C77" s="3" t="s">
        <v>776</v>
      </c>
      <c r="D77" s="3" t="s">
        <v>777</v>
      </c>
      <c r="E77" s="3" t="s">
        <v>404</v>
      </c>
      <c r="F77" s="3" t="s">
        <v>778</v>
      </c>
      <c r="G77" s="2" t="s">
        <v>779</v>
      </c>
      <c r="H77" s="2" t="s">
        <v>89</v>
      </c>
      <c r="I77" s="4">
        <v>37911</v>
      </c>
      <c r="J77" s="5">
        <v>500000</v>
      </c>
      <c r="K77" s="50" t="s">
        <v>125</v>
      </c>
      <c r="L77" s="6">
        <v>8512</v>
      </c>
      <c r="M77" s="51">
        <f t="shared" si="4"/>
        <v>58.7406015037594</v>
      </c>
      <c r="N77" s="8">
        <v>12768</v>
      </c>
      <c r="O77" s="51">
        <f t="shared" si="7"/>
        <v>39.16040100250627</v>
      </c>
      <c r="P77" s="10">
        <v>8</v>
      </c>
      <c r="Q77" s="18">
        <f t="shared" si="5"/>
        <v>62500</v>
      </c>
      <c r="R77" s="8">
        <v>12008</v>
      </c>
      <c r="S77" s="52" t="s">
        <v>195</v>
      </c>
      <c r="T77" s="2" t="s">
        <v>127</v>
      </c>
      <c r="U77" s="2" t="s">
        <v>93</v>
      </c>
      <c r="V77" s="2" t="s">
        <v>780</v>
      </c>
      <c r="X77" s="3" t="s">
        <v>96</v>
      </c>
      <c r="Y77" s="3" t="s">
        <v>97</v>
      </c>
      <c r="Z77" s="2" t="s">
        <v>130</v>
      </c>
      <c r="AB77" s="3" t="s">
        <v>781</v>
      </c>
      <c r="AF77" s="11">
        <f t="shared" si="6"/>
        <v>62500</v>
      </c>
    </row>
    <row r="78" spans="1:32" ht="12.75">
      <c r="A78" s="3" t="s">
        <v>782</v>
      </c>
      <c r="B78" s="2" t="s">
        <v>137</v>
      </c>
      <c r="C78" s="3" t="s">
        <v>783</v>
      </c>
      <c r="D78" s="3" t="s">
        <v>784</v>
      </c>
      <c r="E78" s="3" t="s">
        <v>785</v>
      </c>
      <c r="F78" s="3" t="s">
        <v>786</v>
      </c>
      <c r="G78" s="2" t="s">
        <v>787</v>
      </c>
      <c r="H78" s="2" t="s">
        <v>89</v>
      </c>
      <c r="I78" s="4">
        <v>37925</v>
      </c>
      <c r="J78" s="5">
        <v>207000</v>
      </c>
      <c r="K78" s="50" t="s">
        <v>788</v>
      </c>
      <c r="L78" s="6">
        <v>5700</v>
      </c>
      <c r="M78" s="51">
        <f t="shared" si="4"/>
        <v>36.31578947368421</v>
      </c>
      <c r="N78" s="8">
        <v>5700</v>
      </c>
      <c r="O78" s="51">
        <f t="shared" si="7"/>
        <v>36.31578947368421</v>
      </c>
      <c r="Q78" s="18">
        <f t="shared" si="5"/>
      </c>
      <c r="R78" s="8">
        <v>21400</v>
      </c>
      <c r="S78" s="52" t="s">
        <v>286</v>
      </c>
      <c r="T78" s="2" t="s">
        <v>287</v>
      </c>
      <c r="U78" s="2" t="s">
        <v>93</v>
      </c>
      <c r="V78" s="2" t="s">
        <v>693</v>
      </c>
      <c r="X78" s="3" t="s">
        <v>260</v>
      </c>
      <c r="Y78" s="3" t="s">
        <v>97</v>
      </c>
      <c r="Z78" s="2" t="s">
        <v>98</v>
      </c>
      <c r="AB78" s="53" t="s">
        <v>789</v>
      </c>
      <c r="AC78" s="3" t="s">
        <v>790</v>
      </c>
      <c r="AF78" s="11" t="e">
        <f t="shared" si="6"/>
        <v>#DIV/0!</v>
      </c>
    </row>
    <row r="79" spans="1:32" ht="12.75">
      <c r="A79" s="3" t="s">
        <v>791</v>
      </c>
      <c r="B79" s="2" t="s">
        <v>738</v>
      </c>
      <c r="C79" s="3" t="s">
        <v>792</v>
      </c>
      <c r="D79" s="3" t="s">
        <v>793</v>
      </c>
      <c r="E79" s="3" t="s">
        <v>794</v>
      </c>
      <c r="F79" s="3" t="s">
        <v>795</v>
      </c>
      <c r="G79" s="2" t="s">
        <v>796</v>
      </c>
      <c r="H79" s="2" t="s">
        <v>89</v>
      </c>
      <c r="I79" s="4">
        <v>37743</v>
      </c>
      <c r="J79" s="5">
        <v>2515000</v>
      </c>
      <c r="K79" s="50" t="s">
        <v>797</v>
      </c>
      <c r="L79" s="6">
        <v>17793</v>
      </c>
      <c r="M79" s="51">
        <f t="shared" si="4"/>
        <v>141.34772101388185</v>
      </c>
      <c r="N79" s="8">
        <v>17793</v>
      </c>
      <c r="O79" s="51">
        <f t="shared" si="7"/>
        <v>141.34772101388185</v>
      </c>
      <c r="Q79" s="18">
        <f t="shared" si="5"/>
      </c>
      <c r="R79" s="8">
        <v>72686</v>
      </c>
      <c r="S79" s="52" t="s">
        <v>181</v>
      </c>
      <c r="T79" s="2" t="s">
        <v>798</v>
      </c>
      <c r="U79" s="2" t="s">
        <v>93</v>
      </c>
      <c r="V79" s="2" t="s">
        <v>799</v>
      </c>
      <c r="W79" s="2" t="s">
        <v>619</v>
      </c>
      <c r="X79" s="3" t="s">
        <v>633</v>
      </c>
      <c r="Y79" s="3" t="s">
        <v>160</v>
      </c>
      <c r="Z79" s="2" t="s">
        <v>147</v>
      </c>
      <c r="AB79" s="3" t="s">
        <v>800</v>
      </c>
      <c r="AC79" s="68" t="s">
        <v>801</v>
      </c>
      <c r="AD79" s="3" t="s">
        <v>802</v>
      </c>
      <c r="AF79" s="11" t="e">
        <f t="shared" si="6"/>
        <v>#DIV/0!</v>
      </c>
    </row>
    <row r="80" spans="1:32" ht="12.75">
      <c r="A80" s="3" t="s">
        <v>803</v>
      </c>
      <c r="B80" s="2" t="s">
        <v>804</v>
      </c>
      <c r="C80" s="3" t="s">
        <v>805</v>
      </c>
      <c r="D80" s="3" t="s">
        <v>806</v>
      </c>
      <c r="E80" s="3" t="s">
        <v>807</v>
      </c>
      <c r="F80" s="3" t="s">
        <v>808</v>
      </c>
      <c r="G80" s="2" t="s">
        <v>809</v>
      </c>
      <c r="H80" s="2" t="s">
        <v>89</v>
      </c>
      <c r="I80" s="4">
        <v>37817</v>
      </c>
      <c r="J80" s="5">
        <v>1710000</v>
      </c>
      <c r="K80" s="69" t="s">
        <v>631</v>
      </c>
      <c r="L80" s="6">
        <v>10962</v>
      </c>
      <c r="M80" s="51">
        <f t="shared" si="4"/>
        <v>155.99343185550083</v>
      </c>
      <c r="N80" s="8">
        <v>12976</v>
      </c>
      <c r="O80" s="51">
        <f t="shared" si="7"/>
        <v>131.7817509247842</v>
      </c>
      <c r="P80" s="10">
        <v>14</v>
      </c>
      <c r="Q80" s="18">
        <f t="shared" si="5"/>
        <v>122100</v>
      </c>
      <c r="R80" s="8">
        <v>8712</v>
      </c>
      <c r="S80" s="52" t="s">
        <v>810</v>
      </c>
      <c r="T80" s="2" t="s">
        <v>127</v>
      </c>
      <c r="U80" s="2" t="s">
        <v>93</v>
      </c>
      <c r="V80" s="2" t="s">
        <v>340</v>
      </c>
      <c r="X80" s="3" t="s">
        <v>633</v>
      </c>
      <c r="Y80" s="3" t="s">
        <v>160</v>
      </c>
      <c r="Z80" s="2" t="s">
        <v>147</v>
      </c>
      <c r="AB80" s="3" t="s">
        <v>811</v>
      </c>
      <c r="AC80" s="3" t="s">
        <v>812</v>
      </c>
      <c r="AF80" s="11">
        <f t="shared" si="6"/>
        <v>122100</v>
      </c>
    </row>
    <row r="81" spans="1:32" ht="12.75">
      <c r="A81" s="3" t="s">
        <v>813</v>
      </c>
      <c r="B81" s="2" t="s">
        <v>592</v>
      </c>
      <c r="C81" s="3" t="s">
        <v>814</v>
      </c>
      <c r="D81" s="3" t="s">
        <v>666</v>
      </c>
      <c r="E81" s="53" t="s">
        <v>815</v>
      </c>
      <c r="F81" s="3" t="s">
        <v>816</v>
      </c>
      <c r="G81" s="2" t="s">
        <v>817</v>
      </c>
      <c r="H81" s="2" t="s">
        <v>680</v>
      </c>
      <c r="I81" s="4">
        <v>37936</v>
      </c>
      <c r="J81" s="5">
        <v>187200</v>
      </c>
      <c r="K81" s="50" t="s">
        <v>818</v>
      </c>
      <c r="L81" s="6">
        <v>1265</v>
      </c>
      <c r="M81" s="51">
        <f t="shared" si="4"/>
        <v>147.98418972332016</v>
      </c>
      <c r="N81" s="8">
        <v>1265</v>
      </c>
      <c r="O81" s="51">
        <f t="shared" si="7"/>
        <v>147.98418972332016</v>
      </c>
      <c r="Q81" s="18">
        <f t="shared" si="5"/>
      </c>
      <c r="S81" s="52" t="s">
        <v>356</v>
      </c>
      <c r="T81" s="2" t="s">
        <v>671</v>
      </c>
      <c r="U81" s="2" t="s">
        <v>93</v>
      </c>
      <c r="V81" s="2" t="s">
        <v>672</v>
      </c>
      <c r="X81" s="3" t="s">
        <v>114</v>
      </c>
      <c r="Y81" s="3" t="s">
        <v>306</v>
      </c>
      <c r="Z81" s="2" t="s">
        <v>98</v>
      </c>
      <c r="AB81" s="3" t="s">
        <v>819</v>
      </c>
      <c r="AC81" s="12" t="s">
        <v>820</v>
      </c>
      <c r="AF81" s="11" t="e">
        <f t="shared" si="6"/>
        <v>#DIV/0!</v>
      </c>
    </row>
    <row r="82" spans="1:32" ht="12.75">
      <c r="A82" s="3" t="s">
        <v>821</v>
      </c>
      <c r="B82" s="2" t="s">
        <v>822</v>
      </c>
      <c r="C82" s="3" t="s">
        <v>823</v>
      </c>
      <c r="D82" s="3" t="s">
        <v>824</v>
      </c>
      <c r="E82" s="3" t="s">
        <v>825</v>
      </c>
      <c r="F82" s="3" t="s">
        <v>826</v>
      </c>
      <c r="G82" s="2" t="s">
        <v>827</v>
      </c>
      <c r="H82" s="2" t="s">
        <v>89</v>
      </c>
      <c r="I82" s="4">
        <v>37894</v>
      </c>
      <c r="J82" s="5">
        <v>910000</v>
      </c>
      <c r="K82" s="50" t="s">
        <v>818</v>
      </c>
      <c r="L82" s="6">
        <v>3781</v>
      </c>
      <c r="M82" s="51">
        <f t="shared" si="4"/>
        <v>240.6770695583179</v>
      </c>
      <c r="N82" s="8">
        <v>3781</v>
      </c>
      <c r="O82" s="51">
        <f t="shared" si="7"/>
        <v>240.6770695583179</v>
      </c>
      <c r="Q82" s="18">
        <f t="shared" si="5"/>
      </c>
      <c r="S82" s="52" t="s">
        <v>828</v>
      </c>
      <c r="T82" s="2" t="s">
        <v>671</v>
      </c>
      <c r="U82" s="2" t="s">
        <v>93</v>
      </c>
      <c r="V82" s="2" t="s">
        <v>672</v>
      </c>
      <c r="X82" s="3" t="s">
        <v>829</v>
      </c>
      <c r="Y82" s="3" t="s">
        <v>160</v>
      </c>
      <c r="Z82" s="2" t="s">
        <v>98</v>
      </c>
      <c r="AB82" s="3" t="s">
        <v>830</v>
      </c>
      <c r="AF82" s="11" t="e">
        <f t="shared" si="6"/>
        <v>#DIV/0!</v>
      </c>
    </row>
    <row r="83" spans="1:32" ht="12.75">
      <c r="A83" s="3" t="s">
        <v>831</v>
      </c>
      <c r="B83" s="2" t="s">
        <v>822</v>
      </c>
      <c r="C83" s="3" t="s">
        <v>832</v>
      </c>
      <c r="D83" s="68" t="s">
        <v>833</v>
      </c>
      <c r="E83" s="3" t="s">
        <v>825</v>
      </c>
      <c r="F83" s="3" t="s">
        <v>826</v>
      </c>
      <c r="G83" s="2" t="s">
        <v>834</v>
      </c>
      <c r="H83" s="2" t="s">
        <v>89</v>
      </c>
      <c r="I83" s="4">
        <v>37894</v>
      </c>
      <c r="J83" s="5">
        <v>305800</v>
      </c>
      <c r="K83" s="50" t="s">
        <v>835</v>
      </c>
      <c r="L83" s="6">
        <v>11582</v>
      </c>
      <c r="M83" s="51">
        <f t="shared" si="4"/>
        <v>26.40303919875669</v>
      </c>
      <c r="N83" s="8">
        <v>11582</v>
      </c>
      <c r="O83" s="51">
        <f t="shared" si="7"/>
        <v>26.40303919875669</v>
      </c>
      <c r="Q83" s="18">
        <f t="shared" si="5"/>
      </c>
      <c r="S83" s="52" t="s">
        <v>828</v>
      </c>
      <c r="T83" s="2" t="s">
        <v>836</v>
      </c>
      <c r="U83" s="2" t="s">
        <v>93</v>
      </c>
      <c r="V83" s="2" t="s">
        <v>672</v>
      </c>
      <c r="X83" s="3" t="s">
        <v>508</v>
      </c>
      <c r="Y83" s="3" t="s">
        <v>160</v>
      </c>
      <c r="Z83" s="2" t="s">
        <v>98</v>
      </c>
      <c r="AB83" s="3" t="s">
        <v>837</v>
      </c>
      <c r="AC83" s="3" t="s">
        <v>838</v>
      </c>
      <c r="AF83" s="11" t="e">
        <f t="shared" si="6"/>
        <v>#DIV/0!</v>
      </c>
    </row>
    <row r="84" spans="1:32" ht="12.75">
      <c r="A84" s="3" t="s">
        <v>839</v>
      </c>
      <c r="B84" s="2" t="s">
        <v>137</v>
      </c>
      <c r="C84" s="3" t="s">
        <v>840</v>
      </c>
      <c r="D84" s="3" t="s">
        <v>841</v>
      </c>
      <c r="E84" s="3" t="s">
        <v>842</v>
      </c>
      <c r="F84" s="3" t="s">
        <v>843</v>
      </c>
      <c r="G84" s="2" t="s">
        <v>844</v>
      </c>
      <c r="H84" s="2" t="s">
        <v>89</v>
      </c>
      <c r="I84" s="4">
        <v>37893</v>
      </c>
      <c r="J84" s="5">
        <v>149000</v>
      </c>
      <c r="K84" s="50" t="s">
        <v>432</v>
      </c>
      <c r="L84" s="6">
        <v>1344</v>
      </c>
      <c r="M84" s="51">
        <f t="shared" si="4"/>
        <v>110.86309523809524</v>
      </c>
      <c r="N84" s="8">
        <v>1344</v>
      </c>
      <c r="O84" s="51">
        <f t="shared" si="7"/>
        <v>110.86309523809524</v>
      </c>
      <c r="Q84" s="18">
        <f t="shared" si="5"/>
      </c>
      <c r="R84" s="8">
        <v>13800</v>
      </c>
      <c r="S84" s="52" t="s">
        <v>286</v>
      </c>
      <c r="T84" s="2" t="s">
        <v>434</v>
      </c>
      <c r="U84" s="2" t="s">
        <v>845</v>
      </c>
      <c r="V84" s="2" t="s">
        <v>780</v>
      </c>
      <c r="X84" s="3" t="s">
        <v>846</v>
      </c>
      <c r="Y84" s="3" t="s">
        <v>306</v>
      </c>
      <c r="Z84" s="2" t="s">
        <v>98</v>
      </c>
      <c r="AF84" s="11" t="e">
        <f t="shared" si="6"/>
        <v>#DIV/0!</v>
      </c>
    </row>
    <row r="85" spans="1:32" ht="12.75">
      <c r="A85" s="3" t="s">
        <v>847</v>
      </c>
      <c r="B85" s="2" t="s">
        <v>848</v>
      </c>
      <c r="C85" s="3" t="s">
        <v>849</v>
      </c>
      <c r="D85" s="3" t="s">
        <v>850</v>
      </c>
      <c r="E85" s="3" t="s">
        <v>851</v>
      </c>
      <c r="F85" s="3" t="s">
        <v>852</v>
      </c>
      <c r="G85" s="2" t="s">
        <v>853</v>
      </c>
      <c r="H85" s="2" t="s">
        <v>89</v>
      </c>
      <c r="I85" s="4">
        <v>37839</v>
      </c>
      <c r="J85" s="5">
        <v>11279000</v>
      </c>
      <c r="K85" s="50" t="s">
        <v>90</v>
      </c>
      <c r="L85" s="6">
        <v>125972</v>
      </c>
      <c r="M85" s="51">
        <f t="shared" si="4"/>
        <v>89.53576985361826</v>
      </c>
      <c r="N85" s="8">
        <v>223784</v>
      </c>
      <c r="O85" s="51">
        <f t="shared" si="7"/>
        <v>50.401279805526755</v>
      </c>
      <c r="Q85" s="18">
        <f t="shared" si="5"/>
      </c>
      <c r="R85" s="8">
        <v>33092</v>
      </c>
      <c r="S85" s="52" t="s">
        <v>91</v>
      </c>
      <c r="T85" s="2" t="s">
        <v>206</v>
      </c>
      <c r="U85" s="2" t="s">
        <v>93</v>
      </c>
      <c r="V85" s="2" t="s">
        <v>577</v>
      </c>
      <c r="W85" s="2" t="s">
        <v>484</v>
      </c>
      <c r="X85" s="3" t="s">
        <v>114</v>
      </c>
      <c r="Y85" s="3" t="s">
        <v>508</v>
      </c>
      <c r="Z85" s="2" t="s">
        <v>854</v>
      </c>
      <c r="AB85" s="3" t="s">
        <v>855</v>
      </c>
      <c r="AC85" s="3" t="s">
        <v>856</v>
      </c>
      <c r="AF85" s="11" t="e">
        <f t="shared" si="6"/>
        <v>#DIV/0!</v>
      </c>
    </row>
    <row r="86" spans="1:32" ht="12.75">
      <c r="A86" s="3" t="s">
        <v>857</v>
      </c>
      <c r="B86" s="2" t="s">
        <v>804</v>
      </c>
      <c r="C86" s="3" t="s">
        <v>858</v>
      </c>
      <c r="D86" s="3" t="s">
        <v>859</v>
      </c>
      <c r="E86" s="68" t="s">
        <v>860</v>
      </c>
      <c r="F86" s="68" t="s">
        <v>861</v>
      </c>
      <c r="G86" s="2" t="s">
        <v>862</v>
      </c>
      <c r="H86" s="2" t="s">
        <v>89</v>
      </c>
      <c r="I86" s="4">
        <v>37708</v>
      </c>
      <c r="J86" s="5">
        <v>2625000</v>
      </c>
      <c r="K86" s="50" t="s">
        <v>863</v>
      </c>
      <c r="L86" s="6">
        <v>25468</v>
      </c>
      <c r="M86" s="51">
        <f t="shared" si="4"/>
        <v>103.07051986806974</v>
      </c>
      <c r="N86" s="8">
        <v>27585</v>
      </c>
      <c r="O86" s="51">
        <f t="shared" si="7"/>
        <v>95.16041326808048</v>
      </c>
      <c r="P86" s="10">
        <v>20</v>
      </c>
      <c r="Q86" s="18">
        <f t="shared" si="5"/>
        <v>131300</v>
      </c>
      <c r="R86" s="8">
        <v>7277</v>
      </c>
      <c r="S86" s="52" t="s">
        <v>91</v>
      </c>
      <c r="T86" s="2" t="s">
        <v>864</v>
      </c>
      <c r="U86" s="2" t="s">
        <v>93</v>
      </c>
      <c r="V86" s="2" t="s">
        <v>865</v>
      </c>
      <c r="X86" s="3" t="s">
        <v>114</v>
      </c>
      <c r="Y86" s="3" t="s">
        <v>97</v>
      </c>
      <c r="Z86" s="2" t="s">
        <v>866</v>
      </c>
      <c r="AB86" s="3" t="s">
        <v>867</v>
      </c>
      <c r="AC86" s="3" t="s">
        <v>868</v>
      </c>
      <c r="AD86" s="3" t="s">
        <v>869</v>
      </c>
      <c r="AF86" s="11">
        <f t="shared" si="6"/>
        <v>131300</v>
      </c>
    </row>
    <row r="87" spans="1:32" ht="12.75">
      <c r="A87" s="3" t="s">
        <v>870</v>
      </c>
      <c r="B87" s="2" t="s">
        <v>804</v>
      </c>
      <c r="C87" s="3" t="s">
        <v>871</v>
      </c>
      <c r="D87" s="3" t="s">
        <v>872</v>
      </c>
      <c r="E87" s="3" t="s">
        <v>873</v>
      </c>
      <c r="F87" s="3" t="s">
        <v>874</v>
      </c>
      <c r="G87" s="2" t="s">
        <v>875</v>
      </c>
      <c r="H87" s="2" t="s">
        <v>89</v>
      </c>
      <c r="I87" s="4">
        <v>37858</v>
      </c>
      <c r="J87" s="5">
        <v>715000</v>
      </c>
      <c r="K87" s="50" t="s">
        <v>876</v>
      </c>
      <c r="L87" s="6">
        <v>3120</v>
      </c>
      <c r="M87" s="51">
        <f t="shared" si="4"/>
        <v>229.16666666666666</v>
      </c>
      <c r="N87" s="8">
        <v>4680</v>
      </c>
      <c r="O87" s="51">
        <f t="shared" si="7"/>
        <v>152.77777777777777</v>
      </c>
      <c r="P87" s="10">
        <v>2</v>
      </c>
      <c r="Q87" s="18">
        <f t="shared" si="5"/>
        <v>357500</v>
      </c>
      <c r="R87" s="8">
        <v>1904</v>
      </c>
      <c r="S87" s="52" t="s">
        <v>828</v>
      </c>
      <c r="T87" s="2" t="s">
        <v>370</v>
      </c>
      <c r="U87" s="2" t="s">
        <v>93</v>
      </c>
      <c r="V87" s="2" t="s">
        <v>877</v>
      </c>
      <c r="W87" s="2" t="s">
        <v>385</v>
      </c>
      <c r="X87" s="3" t="s">
        <v>114</v>
      </c>
      <c r="Y87" s="3" t="s">
        <v>97</v>
      </c>
      <c r="Z87" s="2" t="s">
        <v>130</v>
      </c>
      <c r="AB87" s="3" t="s">
        <v>878</v>
      </c>
      <c r="AF87" s="11">
        <f t="shared" si="6"/>
        <v>357500</v>
      </c>
    </row>
    <row r="88" spans="1:32" ht="12.75">
      <c r="A88" s="3" t="s">
        <v>879</v>
      </c>
      <c r="B88" s="2" t="s">
        <v>822</v>
      </c>
      <c r="C88" s="3" t="s">
        <v>880</v>
      </c>
      <c r="D88" s="3" t="s">
        <v>881</v>
      </c>
      <c r="E88" s="3" t="s">
        <v>882</v>
      </c>
      <c r="F88" s="3" t="s">
        <v>883</v>
      </c>
      <c r="G88" s="2" t="s">
        <v>884</v>
      </c>
      <c r="H88" s="2" t="s">
        <v>367</v>
      </c>
      <c r="I88" s="4">
        <v>37833</v>
      </c>
      <c r="J88" s="5">
        <v>750000</v>
      </c>
      <c r="K88" s="50" t="s">
        <v>885</v>
      </c>
      <c r="L88" s="6">
        <v>7326</v>
      </c>
      <c r="M88" s="51">
        <f t="shared" si="4"/>
        <v>102.37510237510237</v>
      </c>
      <c r="N88" s="71">
        <v>7326</v>
      </c>
      <c r="O88" s="72">
        <f t="shared" si="7"/>
        <v>102.37510237510237</v>
      </c>
      <c r="Q88" s="18">
        <f t="shared" si="5"/>
      </c>
      <c r="R88" s="8">
        <v>2640</v>
      </c>
      <c r="S88" s="52" t="s">
        <v>828</v>
      </c>
      <c r="T88" s="2" t="s">
        <v>886</v>
      </c>
      <c r="U88" s="2" t="s">
        <v>93</v>
      </c>
      <c r="V88" s="2" t="s">
        <v>887</v>
      </c>
      <c r="W88" s="2" t="s">
        <v>347</v>
      </c>
      <c r="X88" s="3" t="s">
        <v>829</v>
      </c>
      <c r="Y88" s="3" t="s">
        <v>97</v>
      </c>
      <c r="Z88" s="2" t="s">
        <v>147</v>
      </c>
      <c r="AB88" s="3" t="s">
        <v>888</v>
      </c>
      <c r="AF88" s="11" t="e">
        <f t="shared" si="6"/>
        <v>#DIV/0!</v>
      </c>
    </row>
    <row r="89" spans="1:32" ht="12.75">
      <c r="A89" s="3" t="s">
        <v>889</v>
      </c>
      <c r="B89" s="2" t="s">
        <v>738</v>
      </c>
      <c r="C89" s="3" t="s">
        <v>890</v>
      </c>
      <c r="D89" s="3" t="s">
        <v>891</v>
      </c>
      <c r="E89" s="3" t="s">
        <v>892</v>
      </c>
      <c r="F89" s="3" t="s">
        <v>893</v>
      </c>
      <c r="G89" s="2" t="s">
        <v>894</v>
      </c>
      <c r="H89" s="2" t="s">
        <v>89</v>
      </c>
      <c r="I89" s="4">
        <v>37771</v>
      </c>
      <c r="J89" s="5">
        <v>1600100</v>
      </c>
      <c r="K89" s="50" t="s">
        <v>90</v>
      </c>
      <c r="L89" s="6">
        <v>24162</v>
      </c>
      <c r="M89" s="51">
        <f t="shared" si="4"/>
        <v>66.22382253124741</v>
      </c>
      <c r="N89" s="8">
        <v>24162</v>
      </c>
      <c r="O89" s="51">
        <f t="shared" si="7"/>
        <v>66.22382253124741</v>
      </c>
      <c r="Q89" s="18">
        <f t="shared" si="5"/>
      </c>
      <c r="R89" s="8">
        <v>10878</v>
      </c>
      <c r="S89" s="52" t="s">
        <v>828</v>
      </c>
      <c r="T89" s="2" t="s">
        <v>206</v>
      </c>
      <c r="U89" s="2" t="s">
        <v>93</v>
      </c>
      <c r="V89" s="2" t="s">
        <v>196</v>
      </c>
      <c r="W89" s="2" t="s">
        <v>425</v>
      </c>
      <c r="X89" s="3" t="s">
        <v>114</v>
      </c>
      <c r="Y89" s="3" t="s">
        <v>508</v>
      </c>
      <c r="Z89" s="2" t="s">
        <v>130</v>
      </c>
      <c r="AB89" s="3" t="s">
        <v>895</v>
      </c>
      <c r="AC89" s="3" t="s">
        <v>896</v>
      </c>
      <c r="AD89" s="3" t="s">
        <v>897</v>
      </c>
      <c r="AF89" s="11" t="e">
        <f t="shared" si="6"/>
        <v>#DIV/0!</v>
      </c>
    </row>
    <row r="90" spans="1:32" ht="12.75">
      <c r="A90" s="3" t="s">
        <v>898</v>
      </c>
      <c r="B90" s="2" t="s">
        <v>592</v>
      </c>
      <c r="C90" s="3" t="s">
        <v>899</v>
      </c>
      <c r="D90" s="3" t="s">
        <v>666</v>
      </c>
      <c r="E90" s="53" t="s">
        <v>815</v>
      </c>
      <c r="F90" s="3" t="s">
        <v>900</v>
      </c>
      <c r="G90" s="2" t="s">
        <v>901</v>
      </c>
      <c r="H90" s="2" t="s">
        <v>680</v>
      </c>
      <c r="I90" s="4">
        <v>37839</v>
      </c>
      <c r="J90" s="5">
        <v>187200</v>
      </c>
      <c r="K90" s="50" t="s">
        <v>818</v>
      </c>
      <c r="L90" s="6">
        <v>1163</v>
      </c>
      <c r="M90" s="51">
        <f t="shared" si="4"/>
        <v>160.96302665520207</v>
      </c>
      <c r="N90" s="8">
        <v>1163</v>
      </c>
      <c r="O90" s="51">
        <f t="shared" si="7"/>
        <v>160.96302665520207</v>
      </c>
      <c r="Q90" s="18">
        <f>IF(P90=0,"",+AF90)</f>
      </c>
      <c r="S90" s="52" t="s">
        <v>356</v>
      </c>
      <c r="T90" s="2" t="s">
        <v>671</v>
      </c>
      <c r="U90" s="2" t="s">
        <v>93</v>
      </c>
      <c r="V90" s="2" t="s">
        <v>672</v>
      </c>
      <c r="X90" s="3" t="s">
        <v>114</v>
      </c>
      <c r="Y90" s="3" t="s">
        <v>306</v>
      </c>
      <c r="Z90" s="2" t="s">
        <v>98</v>
      </c>
      <c r="AB90" s="3" t="s">
        <v>902</v>
      </c>
      <c r="AC90" s="12" t="s">
        <v>903</v>
      </c>
      <c r="AF90" s="11" t="e">
        <f t="shared" si="6"/>
        <v>#DIV/0!</v>
      </c>
    </row>
    <row r="91" spans="1:32" ht="12.75">
      <c r="A91" s="3" t="s">
        <v>904</v>
      </c>
      <c r="B91" s="2" t="s">
        <v>592</v>
      </c>
      <c r="C91" s="3" t="s">
        <v>905</v>
      </c>
      <c r="D91" s="3" t="s">
        <v>906</v>
      </c>
      <c r="E91" s="3" t="s">
        <v>907</v>
      </c>
      <c r="F91" s="3" t="s">
        <v>908</v>
      </c>
      <c r="G91" s="2" t="s">
        <v>909</v>
      </c>
      <c r="H91" s="2" t="s">
        <v>89</v>
      </c>
      <c r="I91" s="4">
        <v>37959</v>
      </c>
      <c r="J91" s="5">
        <v>250000</v>
      </c>
      <c r="K91" s="50" t="s">
        <v>432</v>
      </c>
      <c r="L91" s="6">
        <f>2178+2310</f>
        <v>4488</v>
      </c>
      <c r="M91" s="51">
        <f t="shared" si="4"/>
        <v>55.70409982174688</v>
      </c>
      <c r="N91" s="8">
        <v>4488</v>
      </c>
      <c r="O91" s="51">
        <f t="shared" si="7"/>
        <v>55.70409982174688</v>
      </c>
      <c r="Q91" s="18">
        <f t="shared" si="5"/>
      </c>
      <c r="R91" s="8">
        <v>5808</v>
      </c>
      <c r="S91" s="52" t="s">
        <v>91</v>
      </c>
      <c r="T91" s="2" t="s">
        <v>434</v>
      </c>
      <c r="U91" s="2" t="s">
        <v>93</v>
      </c>
      <c r="V91" s="2" t="s">
        <v>910</v>
      </c>
      <c r="W91" s="2" t="s">
        <v>483</v>
      </c>
      <c r="X91" s="3" t="s">
        <v>248</v>
      </c>
      <c r="Y91" s="3" t="s">
        <v>911</v>
      </c>
      <c r="Z91" s="2" t="s">
        <v>98</v>
      </c>
      <c r="AB91" s="3" t="s">
        <v>912</v>
      </c>
      <c r="AC91" s="3" t="s">
        <v>913</v>
      </c>
      <c r="AF91" s="11" t="e">
        <f t="shared" si="6"/>
        <v>#DIV/0!</v>
      </c>
    </row>
    <row r="92" spans="1:32" ht="12.75">
      <c r="A92" s="3" t="s">
        <v>914</v>
      </c>
      <c r="B92" s="2" t="s">
        <v>119</v>
      </c>
      <c r="C92" s="3" t="s">
        <v>915</v>
      </c>
      <c r="D92" s="3" t="s">
        <v>916</v>
      </c>
      <c r="E92" s="3" t="s">
        <v>917</v>
      </c>
      <c r="F92" s="3" t="s">
        <v>918</v>
      </c>
      <c r="G92" s="2" t="s">
        <v>919</v>
      </c>
      <c r="H92" s="2" t="s">
        <v>920</v>
      </c>
      <c r="I92" s="4">
        <v>37951</v>
      </c>
      <c r="J92" s="5">
        <v>3321900</v>
      </c>
      <c r="K92" s="50" t="s">
        <v>90</v>
      </c>
      <c r="L92" s="6">
        <v>24017</v>
      </c>
      <c r="M92" s="51">
        <f t="shared" si="4"/>
        <v>138.314527209893</v>
      </c>
      <c r="N92" s="8">
        <v>25041</v>
      </c>
      <c r="O92" s="73">
        <f t="shared" si="7"/>
        <v>132.65844015814065</v>
      </c>
      <c r="Q92" s="18">
        <f t="shared" si="5"/>
      </c>
      <c r="S92" s="52" t="s">
        <v>286</v>
      </c>
      <c r="T92" s="2" t="s">
        <v>206</v>
      </c>
      <c r="U92" s="2" t="s">
        <v>93</v>
      </c>
      <c r="V92" s="2" t="s">
        <v>709</v>
      </c>
      <c r="X92" s="3" t="s">
        <v>921</v>
      </c>
      <c r="Y92" s="3" t="s">
        <v>306</v>
      </c>
      <c r="Z92" s="2" t="s">
        <v>130</v>
      </c>
      <c r="AB92" s="3" t="s">
        <v>922</v>
      </c>
      <c r="AC92" s="3" t="s">
        <v>923</v>
      </c>
      <c r="AF92" s="11" t="e">
        <f>ROUND(+J92/P92,-2)</f>
        <v>#DIV/0!</v>
      </c>
    </row>
    <row r="93" spans="1:32" ht="12.75">
      <c r="A93" s="3" t="s">
        <v>924</v>
      </c>
      <c r="B93" s="2" t="s">
        <v>720</v>
      </c>
      <c r="C93" s="3" t="s">
        <v>925</v>
      </c>
      <c r="D93" s="3" t="s">
        <v>926</v>
      </c>
      <c r="E93" s="3" t="s">
        <v>927</v>
      </c>
      <c r="F93" s="3" t="s">
        <v>928</v>
      </c>
      <c r="G93" s="2" t="s">
        <v>929</v>
      </c>
      <c r="H93" s="2" t="s">
        <v>89</v>
      </c>
      <c r="I93" s="4">
        <v>37733</v>
      </c>
      <c r="J93" s="5">
        <v>375000</v>
      </c>
      <c r="K93" s="50" t="s">
        <v>368</v>
      </c>
      <c r="L93" s="6">
        <v>3808</v>
      </c>
      <c r="M93" s="51">
        <f t="shared" si="4"/>
        <v>98.47689075630252</v>
      </c>
      <c r="N93" s="8">
        <v>5264</v>
      </c>
      <c r="O93" s="73">
        <f t="shared" si="7"/>
        <v>71.23860182370821</v>
      </c>
      <c r="P93" s="10">
        <v>2</v>
      </c>
      <c r="Q93" s="18">
        <f t="shared" si="5"/>
        <v>187500</v>
      </c>
      <c r="R93" s="8">
        <v>4356</v>
      </c>
      <c r="S93" s="52" t="s">
        <v>91</v>
      </c>
      <c r="T93" s="2" t="s">
        <v>370</v>
      </c>
      <c r="U93" s="2" t="s">
        <v>93</v>
      </c>
      <c r="V93" s="2" t="s">
        <v>930</v>
      </c>
      <c r="W93" s="2" t="s">
        <v>709</v>
      </c>
      <c r="X93" s="3" t="s">
        <v>97</v>
      </c>
      <c r="Y93" s="3" t="s">
        <v>97</v>
      </c>
      <c r="Z93" s="2" t="s">
        <v>147</v>
      </c>
      <c r="AB93" s="3" t="s">
        <v>931</v>
      </c>
      <c r="AC93" s="3" t="s">
        <v>932</v>
      </c>
      <c r="AF93" s="11">
        <f>ROUND(+J93/P93,-2)</f>
        <v>187500</v>
      </c>
    </row>
    <row r="94" spans="1:32" ht="12.75">
      <c r="A94" s="3" t="s">
        <v>933</v>
      </c>
      <c r="B94" s="2" t="s">
        <v>720</v>
      </c>
      <c r="C94" s="3" t="s">
        <v>934</v>
      </c>
      <c r="D94" s="3" t="s">
        <v>935</v>
      </c>
      <c r="E94" s="3" t="s">
        <v>936</v>
      </c>
      <c r="F94" s="3" t="s">
        <v>937</v>
      </c>
      <c r="G94" s="2" t="s">
        <v>938</v>
      </c>
      <c r="H94" s="2" t="s">
        <v>89</v>
      </c>
      <c r="I94" s="4">
        <v>37631</v>
      </c>
      <c r="J94" s="5">
        <v>825000</v>
      </c>
      <c r="K94" s="50" t="s">
        <v>314</v>
      </c>
      <c r="L94" s="6">
        <v>28482</v>
      </c>
      <c r="M94" s="51">
        <f t="shared" si="4"/>
        <v>28.96566252369918</v>
      </c>
      <c r="N94" s="8">
        <v>28482</v>
      </c>
      <c r="O94" s="73">
        <f t="shared" si="7"/>
        <v>28.96566252369918</v>
      </c>
      <c r="R94" s="8">
        <v>35937</v>
      </c>
      <c r="S94" s="52" t="s">
        <v>286</v>
      </c>
      <c r="T94" s="2" t="s">
        <v>258</v>
      </c>
      <c r="U94" s="2" t="s">
        <v>93</v>
      </c>
      <c r="V94" s="2" t="s">
        <v>939</v>
      </c>
      <c r="X94" s="3" t="s">
        <v>633</v>
      </c>
      <c r="Y94" s="3" t="s">
        <v>160</v>
      </c>
      <c r="Z94" s="2" t="s">
        <v>98</v>
      </c>
      <c r="AB94" s="68" t="s">
        <v>940</v>
      </c>
      <c r="AC94" s="3" t="s">
        <v>941</v>
      </c>
      <c r="AF94" s="11" t="e">
        <f>ROUND(+J94/P94,-2)</f>
        <v>#DIV/0!</v>
      </c>
    </row>
    <row r="95" spans="1:32" ht="12.75">
      <c r="A95" s="3" t="s">
        <v>942</v>
      </c>
      <c r="B95" s="2" t="s">
        <v>83</v>
      </c>
      <c r="C95" s="11" t="s">
        <v>943</v>
      </c>
      <c r="D95" s="11" t="s">
        <v>944</v>
      </c>
      <c r="E95" s="11" t="s">
        <v>945</v>
      </c>
      <c r="F95" s="11" t="s">
        <v>946</v>
      </c>
      <c r="G95" s="2" t="s">
        <v>947</v>
      </c>
      <c r="H95" s="2" t="s">
        <v>89</v>
      </c>
      <c r="I95" s="4">
        <v>37925</v>
      </c>
      <c r="J95" s="5">
        <v>413400</v>
      </c>
      <c r="K95" s="11" t="s">
        <v>125</v>
      </c>
      <c r="L95" s="8">
        <v>6528</v>
      </c>
      <c r="M95" s="51">
        <f t="shared" si="4"/>
        <v>63.32720588235294</v>
      </c>
      <c r="N95" s="8">
        <v>9792</v>
      </c>
      <c r="O95" s="73">
        <f t="shared" si="7"/>
        <v>42.21813725490196</v>
      </c>
      <c r="P95" s="11">
        <v>8</v>
      </c>
      <c r="Q95" s="18">
        <f t="shared" si="5"/>
        <v>51700</v>
      </c>
      <c r="R95" s="8">
        <v>11974</v>
      </c>
      <c r="S95" s="74" t="s">
        <v>195</v>
      </c>
      <c r="T95" s="10" t="s">
        <v>127</v>
      </c>
      <c r="U95" s="10" t="s">
        <v>93</v>
      </c>
      <c r="V95" s="10">
        <v>1961</v>
      </c>
      <c r="W95" s="11"/>
      <c r="X95" s="11" t="s">
        <v>114</v>
      </c>
      <c r="Y95" s="11" t="s">
        <v>97</v>
      </c>
      <c r="Z95" s="10">
        <v>2</v>
      </c>
      <c r="AA95" s="11"/>
      <c r="AB95" s="11" t="s">
        <v>948</v>
      </c>
      <c r="AF95" s="11">
        <f>ROUND(+J95/P95,-2)</f>
        <v>51700</v>
      </c>
    </row>
    <row r="96" spans="1:32" ht="12.75">
      <c r="A96" s="3" t="s">
        <v>949</v>
      </c>
      <c r="B96" s="2" t="s">
        <v>83</v>
      </c>
      <c r="C96" s="3" t="s">
        <v>950</v>
      </c>
      <c r="D96" s="3" t="s">
        <v>951</v>
      </c>
      <c r="E96" s="3" t="s">
        <v>952</v>
      </c>
      <c r="F96" s="3" t="s">
        <v>953</v>
      </c>
      <c r="G96" s="2" t="s">
        <v>954</v>
      </c>
      <c r="H96" s="2" t="s">
        <v>89</v>
      </c>
      <c r="I96" s="4">
        <v>37971</v>
      </c>
      <c r="J96" s="5">
        <v>7200000</v>
      </c>
      <c r="K96" s="50" t="s">
        <v>955</v>
      </c>
      <c r="L96" s="6">
        <v>147819</v>
      </c>
      <c r="M96" s="51">
        <f t="shared" si="4"/>
        <v>48.70821748219106</v>
      </c>
      <c r="N96" s="8">
        <v>206462</v>
      </c>
      <c r="O96" s="51">
        <f t="shared" si="7"/>
        <v>34.87324543983881</v>
      </c>
      <c r="P96" s="11">
        <v>140</v>
      </c>
      <c r="Q96" s="18">
        <f>+J96/P96</f>
        <v>51428.57142857143</v>
      </c>
      <c r="R96" s="8">
        <v>379470</v>
      </c>
      <c r="S96" s="52" t="s">
        <v>956</v>
      </c>
      <c r="T96" s="2" t="s">
        <v>127</v>
      </c>
      <c r="U96" s="2" t="s">
        <v>93</v>
      </c>
      <c r="V96" s="2" t="s">
        <v>957</v>
      </c>
      <c r="X96" s="3" t="s">
        <v>958</v>
      </c>
      <c r="Y96" s="3" t="s">
        <v>97</v>
      </c>
      <c r="Z96" s="2" t="s">
        <v>130</v>
      </c>
      <c r="AB96" s="11" t="s">
        <v>959</v>
      </c>
      <c r="AC96" s="11" t="s">
        <v>960</v>
      </c>
      <c r="AF96" s="11">
        <f>ROUND(+J96/P96,-2)</f>
        <v>51400</v>
      </c>
    </row>
    <row r="97" spans="1:35" ht="12.75">
      <c r="A97" s="3" t="s">
        <v>961</v>
      </c>
      <c r="B97" s="2" t="s">
        <v>377</v>
      </c>
      <c r="C97" s="3" t="s">
        <v>962</v>
      </c>
      <c r="D97" s="3" t="s">
        <v>963</v>
      </c>
      <c r="E97" s="3" t="s">
        <v>964</v>
      </c>
      <c r="F97" s="3" t="s">
        <v>965</v>
      </c>
      <c r="G97" s="2" t="s">
        <v>966</v>
      </c>
      <c r="H97" s="2" t="s">
        <v>89</v>
      </c>
      <c r="I97" s="4">
        <v>37984</v>
      </c>
      <c r="J97" s="5">
        <v>650000</v>
      </c>
      <c r="K97" s="50" t="s">
        <v>967</v>
      </c>
      <c r="L97" s="6">
        <v>2453</v>
      </c>
      <c r="M97" s="51">
        <f t="shared" si="4"/>
        <v>264.98165511618424</v>
      </c>
      <c r="N97" s="8">
        <v>2653</v>
      </c>
      <c r="O97" s="67">
        <f t="shared" si="7"/>
        <v>245.00565397663024</v>
      </c>
      <c r="R97" s="8">
        <v>22201</v>
      </c>
      <c r="S97" s="52" t="s">
        <v>91</v>
      </c>
      <c r="T97" s="2" t="s">
        <v>968</v>
      </c>
      <c r="U97" s="2" t="s">
        <v>93</v>
      </c>
      <c r="V97" s="2" t="s">
        <v>969</v>
      </c>
      <c r="X97" s="3" t="s">
        <v>970</v>
      </c>
      <c r="Y97" s="3" t="s">
        <v>306</v>
      </c>
      <c r="Z97" s="2" t="s">
        <v>98</v>
      </c>
      <c r="AB97" s="3" t="s">
        <v>971</v>
      </c>
      <c r="AC97" s="3" t="s">
        <v>972</v>
      </c>
      <c r="AD97" s="3" t="s">
        <v>973</v>
      </c>
      <c r="AI97" s="11">
        <f>45*12</f>
        <v>540</v>
      </c>
    </row>
    <row r="98" spans="1:31" ht="12.75">
      <c r="A98" s="3" t="s">
        <v>974</v>
      </c>
      <c r="B98" s="2" t="s">
        <v>188</v>
      </c>
      <c r="C98" s="3" t="s">
        <v>975</v>
      </c>
      <c r="D98" s="3" t="s">
        <v>976</v>
      </c>
      <c r="E98" s="3" t="s">
        <v>977</v>
      </c>
      <c r="F98" s="3" t="s">
        <v>978</v>
      </c>
      <c r="G98" s="2" t="s">
        <v>979</v>
      </c>
      <c r="H98" s="2" t="s">
        <v>89</v>
      </c>
      <c r="I98" s="4">
        <v>37956</v>
      </c>
      <c r="J98" s="5">
        <v>4300000</v>
      </c>
      <c r="K98" s="50" t="s">
        <v>980</v>
      </c>
      <c r="L98" s="6">
        <v>119725</v>
      </c>
      <c r="M98" s="51">
        <f t="shared" si="4"/>
        <v>35.915640008352476</v>
      </c>
      <c r="N98" s="8">
        <v>119725</v>
      </c>
      <c r="O98" s="67">
        <f t="shared" si="7"/>
        <v>35.915640008352476</v>
      </c>
      <c r="R98" s="8">
        <v>540133</v>
      </c>
      <c r="S98" s="52" t="s">
        <v>111</v>
      </c>
      <c r="T98" s="2" t="s">
        <v>112</v>
      </c>
      <c r="U98" s="2" t="s">
        <v>93</v>
      </c>
      <c r="V98" s="2" t="s">
        <v>384</v>
      </c>
      <c r="W98" s="2" t="s">
        <v>709</v>
      </c>
      <c r="X98" s="3" t="s">
        <v>299</v>
      </c>
      <c r="Y98" s="3" t="s">
        <v>306</v>
      </c>
      <c r="Z98" s="2" t="s">
        <v>98</v>
      </c>
      <c r="AB98" s="3" t="s">
        <v>981</v>
      </c>
      <c r="AC98" s="3" t="s">
        <v>982</v>
      </c>
      <c r="AD98" s="3" t="s">
        <v>983</v>
      </c>
      <c r="AE98" s="3" t="s">
        <v>984</v>
      </c>
    </row>
    <row r="99" spans="1:28" ht="12.75">
      <c r="A99" s="3" t="s">
        <v>985</v>
      </c>
      <c r="B99" s="2" t="s">
        <v>83</v>
      </c>
      <c r="C99" s="3" t="s">
        <v>986</v>
      </c>
      <c r="D99" s="3" t="s">
        <v>987</v>
      </c>
      <c r="E99" s="3" t="s">
        <v>988</v>
      </c>
      <c r="F99" s="3" t="s">
        <v>989</v>
      </c>
      <c r="G99" s="2" t="s">
        <v>990</v>
      </c>
      <c r="H99" s="2" t="s">
        <v>89</v>
      </c>
      <c r="I99" s="4">
        <v>37635</v>
      </c>
      <c r="J99" s="5">
        <v>5000000</v>
      </c>
      <c r="K99" s="50" t="s">
        <v>991</v>
      </c>
      <c r="L99" s="6">
        <v>54606</v>
      </c>
      <c r="M99" s="51">
        <f t="shared" si="4"/>
        <v>91.5650294839395</v>
      </c>
      <c r="N99" s="8">
        <v>54606</v>
      </c>
      <c r="O99" s="67">
        <f t="shared" si="7"/>
        <v>91.5650294839395</v>
      </c>
      <c r="R99" s="8">
        <v>400998</v>
      </c>
      <c r="S99" s="52" t="s">
        <v>111</v>
      </c>
      <c r="T99" s="2" t="s">
        <v>992</v>
      </c>
      <c r="U99" s="2" t="s">
        <v>93</v>
      </c>
      <c r="V99" s="2" t="s">
        <v>995</v>
      </c>
      <c r="W99" s="2" t="s">
        <v>418</v>
      </c>
      <c r="X99" s="3" t="s">
        <v>993</v>
      </c>
      <c r="Y99" s="3" t="s">
        <v>306</v>
      </c>
      <c r="Z99" s="2" t="s">
        <v>98</v>
      </c>
      <c r="AB99" s="3" t="s">
        <v>994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Huemmer</dc:creator>
  <cp:keywords/>
  <dc:description/>
  <cp:lastModifiedBy>assmw</cp:lastModifiedBy>
  <dcterms:created xsi:type="dcterms:W3CDTF">2005-10-11T20:08:56Z</dcterms:created>
  <dcterms:modified xsi:type="dcterms:W3CDTF">2006-08-15T17:06:13Z</dcterms:modified>
  <cp:category/>
  <cp:version/>
  <cp:contentType/>
  <cp:contentStatus/>
</cp:coreProperties>
</file>