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F:\Fndocs\FINANCE\Budget\2027\"/>
    </mc:Choice>
  </mc:AlternateContent>
  <xr:revisionPtr revIDLastSave="0" documentId="8_{C741FC32-4BCF-4254-A5B8-26B2569C83C1}" xr6:coauthVersionLast="47" xr6:coauthVersionMax="47" xr10:uidLastSave="{00000000-0000-0000-0000-000000000000}"/>
  <bookViews>
    <workbookView xWindow="-120" yWindow="-120" windowWidth="29040" windowHeight="15720" xr2:uid="{BD4DEF1B-D6E1-4653-BCC6-9B29F4C62549}"/>
  </bookViews>
  <sheets>
    <sheet name="Calculator" sheetId="7" r:id="rId1"/>
    <sheet name="WRS FICA Health" sheetId="5" state="hidden" r:id="rId2"/>
    <sheet name="MiscFringe"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7" l="1"/>
  <c r="C19" i="7"/>
  <c r="C17" i="7"/>
  <c r="C18" i="7"/>
  <c r="D5" i="2"/>
  <c r="D4" i="2"/>
  <c r="D3" i="2"/>
  <c r="D2" i="2"/>
  <c r="C3" i="2"/>
  <c r="B6" i="5" l="1"/>
  <c r="B5" i="5"/>
  <c r="C5" i="2" l="1"/>
  <c r="C4" i="2"/>
  <c r="O10" i="2"/>
  <c r="C2" i="2" s="1"/>
  <c r="D7" i="5" l="1"/>
  <c r="D5" i="5"/>
  <c r="D6" i="5"/>
  <c r="D3" i="5"/>
  <c r="D4" i="5"/>
  <c r="C20" i="7" s="1"/>
  <c r="C22" i="7" s="1"/>
  <c r="D6" i="2"/>
  <c r="C24" i="7" l="1"/>
  <c r="C2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McClain, Maggie</author>
  </authors>
  <commentList>
    <comment ref="C2" authorId="0" shapeId="0" xr:uid="{AB3AC458-4F7E-4112-9189-88901384780E}">
      <text>
        <r>
          <rPr>
            <b/>
            <sz val="9"/>
            <color indexed="81"/>
            <rFont val="Tahoma"/>
            <family val="2"/>
          </rPr>
          <t>McClain, Maggie:</t>
        </r>
        <r>
          <rPr>
            <sz val="9"/>
            <color indexed="81"/>
            <rFont val="Tahoma"/>
            <family val="2"/>
          </rPr>
          <t xml:space="preserve">
Deduction 1000 + 1100 in Deduction Master
FICA includes Social Security (6.2%) + Medicare (1.45%) taxes</t>
        </r>
      </text>
    </comment>
    <comment ref="B3" authorId="0" shapeId="0" xr:uid="{912D2A06-38D4-4143-BB67-206E6CADF014}">
      <text>
        <r>
          <rPr>
            <b/>
            <sz val="9"/>
            <color indexed="81"/>
            <rFont val="Tahoma"/>
            <family val="2"/>
          </rPr>
          <t>McClain, Maggie:</t>
        </r>
        <r>
          <rPr>
            <sz val="9"/>
            <color indexed="81"/>
            <rFont val="Tahoma"/>
            <family val="2"/>
          </rPr>
          <t xml:space="preserve">
Deduction 7500 in Deduction Master</t>
        </r>
      </text>
    </comment>
    <comment ref="B4" authorId="0" shapeId="0" xr:uid="{226AC3AA-DE84-4AA6-999F-56D91CDE840C}">
      <text>
        <r>
          <rPr>
            <b/>
            <sz val="9"/>
            <color indexed="81"/>
            <rFont val="Tahoma"/>
            <family val="2"/>
          </rPr>
          <t>McClain, Maggie:</t>
        </r>
        <r>
          <rPr>
            <sz val="9"/>
            <color indexed="81"/>
            <rFont val="Tahoma"/>
            <family val="2"/>
          </rPr>
          <t xml:space="preserve">
Deduction 7500 in Deduction Master</t>
        </r>
      </text>
    </comment>
    <comment ref="B5" authorId="0" shapeId="0" xr:uid="{6C9F74FE-302E-48C8-80CB-24B0CC9A24EC}">
      <text>
        <r>
          <rPr>
            <b/>
            <sz val="9"/>
            <color indexed="81"/>
            <rFont val="Tahoma"/>
            <family val="2"/>
          </rPr>
          <t>McClain, Maggie:</t>
        </r>
        <r>
          <rPr>
            <sz val="9"/>
            <color indexed="81"/>
            <rFont val="Tahoma"/>
            <family val="2"/>
          </rPr>
          <t xml:space="preserve">
Deduction 7540 in Deduction Master.
18.5% WRS + .41% Duty Disability</t>
        </r>
      </text>
    </comment>
    <comment ref="C5" authorId="0" shapeId="0" xr:uid="{4B6D6FE4-AAAB-448A-917F-740F848DEBB5}">
      <text>
        <r>
          <rPr>
            <b/>
            <sz val="9"/>
            <color indexed="81"/>
            <rFont val="Tahoma"/>
            <family val="2"/>
          </rPr>
          <t>McClain, Maggie:</t>
        </r>
        <r>
          <rPr>
            <sz val="9"/>
            <color indexed="81"/>
            <rFont val="Tahoma"/>
            <family val="2"/>
          </rPr>
          <t xml:space="preserve">
Deduction 1100 in Deduction Master
Sworn Fire employees do not participate in Social Security (Medicare rate only).</t>
        </r>
      </text>
    </comment>
    <comment ref="B6" authorId="0" shapeId="0" xr:uid="{E6615D3F-7001-48EF-9F0C-0053C1E84458}">
      <text>
        <r>
          <rPr>
            <b/>
            <sz val="9"/>
            <color indexed="81"/>
            <rFont val="Tahoma"/>
            <family val="2"/>
          </rPr>
          <t>McClain, Maggie:</t>
        </r>
        <r>
          <rPr>
            <sz val="9"/>
            <color indexed="81"/>
            <rFont val="Tahoma"/>
            <family val="2"/>
          </rPr>
          <t xml:space="preserve">
Deduction 7530 in Deduction Master.
14.7% WRS + .41% Duty Disability</t>
        </r>
      </text>
    </comment>
    <comment ref="B7" authorId="0" shapeId="0" xr:uid="{410CADBB-C96A-43A9-B987-E7B5B0ADADE4}">
      <text>
        <r>
          <rPr>
            <b/>
            <sz val="9"/>
            <color indexed="81"/>
            <rFont val="Tahoma"/>
            <family val="2"/>
          </rPr>
          <t>McClain, Maggie:</t>
        </r>
        <r>
          <rPr>
            <sz val="9"/>
            <color indexed="81"/>
            <rFont val="Tahoma"/>
            <family val="2"/>
          </rPr>
          <t xml:space="preserve">
Deduction 7500 in Deduction Master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McClain, Maggie</author>
  </authors>
  <commentList>
    <comment ref="D2" authorId="0" shapeId="0" xr:uid="{A4C6B0D7-352C-48A1-B0B0-1E9E53230088}">
      <text>
        <r>
          <rPr>
            <b/>
            <sz val="9"/>
            <color indexed="81"/>
            <rFont val="Tahoma"/>
            <family val="2"/>
          </rPr>
          <t>McClain, Maggie:</t>
        </r>
        <r>
          <rPr>
            <sz val="9"/>
            <color indexed="81"/>
            <rFont val="Tahoma"/>
            <family val="2"/>
          </rPr>
          <t xml:space="preserve">
Total Wage Insurance Budget divided by Total FTE Count</t>
        </r>
      </text>
    </comment>
    <comment ref="H2" authorId="0" shapeId="0" xr:uid="{EE8945EA-D8C9-474D-8E77-1352D7EBE8BA}">
      <text>
        <r>
          <rPr>
            <b/>
            <sz val="9"/>
            <color indexed="81"/>
            <rFont val="Tahoma"/>
            <family val="2"/>
          </rPr>
          <t>McClain, Maggie:</t>
        </r>
        <r>
          <rPr>
            <sz val="9"/>
            <color indexed="81"/>
            <rFont val="Tahoma"/>
            <family val="2"/>
          </rPr>
          <t xml:space="preserve">
Pull from a budget cube (Level 07).</t>
        </r>
      </text>
    </comment>
    <comment ref="J2" authorId="0" shapeId="0" xr:uid="{305A5609-B146-4E7E-AA67-59A653C033AE}">
      <text>
        <r>
          <rPr>
            <b/>
            <sz val="9"/>
            <color indexed="81"/>
            <rFont val="Tahoma"/>
            <family val="2"/>
          </rPr>
          <t>McClain, Maggie:</t>
        </r>
        <r>
          <rPr>
            <sz val="9"/>
            <color indexed="81"/>
            <rFont val="Tahoma"/>
            <family val="2"/>
          </rPr>
          <t xml:space="preserve">
Filter budget cube by fund 6100</t>
        </r>
      </text>
    </comment>
    <comment ref="K2" authorId="0" shapeId="0" xr:uid="{4C7389D7-8235-46C1-AF82-30EEC56A7900}">
      <text>
        <r>
          <rPr>
            <b/>
            <sz val="9"/>
            <color indexed="81"/>
            <rFont val="Tahoma"/>
            <family val="2"/>
          </rPr>
          <t>McClain, Maggie:</t>
        </r>
        <r>
          <rPr>
            <sz val="9"/>
            <color indexed="81"/>
            <rFont val="Tahoma"/>
            <family val="2"/>
          </rPr>
          <t xml:space="preserve">
Filter budget cube by Segment 3 - 30, 31</t>
        </r>
      </text>
    </comment>
    <comment ref="M2" authorId="0" shapeId="0" xr:uid="{10DC867F-62E9-4D2E-A348-81F469CE9591}">
      <text>
        <r>
          <rPr>
            <b/>
            <sz val="9"/>
            <color indexed="81"/>
            <rFont val="Tahoma"/>
            <family val="2"/>
          </rPr>
          <t>McClain, Maggie:</t>
        </r>
        <r>
          <rPr>
            <sz val="9"/>
            <color indexed="81"/>
            <rFont val="Tahoma"/>
            <family val="2"/>
          </rPr>
          <t xml:space="preserve">
Filter budget cube by Segment 3 - 50</t>
        </r>
      </text>
    </comment>
    <comment ref="N2" authorId="0" shapeId="0" xr:uid="{F5A32B86-4B23-4EB0-875F-2B136E178C43}">
      <text>
        <r>
          <rPr>
            <b/>
            <sz val="9"/>
            <color indexed="81"/>
            <rFont val="Tahoma"/>
            <family val="2"/>
          </rPr>
          <t>McClain, Maggie:</t>
        </r>
        <r>
          <rPr>
            <sz val="9"/>
            <color indexed="81"/>
            <rFont val="Tahoma"/>
            <family val="2"/>
          </rPr>
          <t xml:space="preserve">
Filter budget cube by Fund 2150</t>
        </r>
      </text>
    </comment>
    <comment ref="D3" authorId="0" shapeId="0" xr:uid="{38D25E31-A01B-4842-9AFA-7FB1B2C72FC6}">
      <text>
        <r>
          <rPr>
            <b/>
            <sz val="9"/>
            <color indexed="81"/>
            <rFont val="Tahoma"/>
            <family val="2"/>
          </rPr>
          <t>McClain, Maggie:</t>
        </r>
        <r>
          <rPr>
            <sz val="9"/>
            <color indexed="81"/>
            <rFont val="Tahoma"/>
            <family val="2"/>
          </rPr>
          <t xml:space="preserve">
Total Sworn Budget (sum of green cells to right) divided by Police &amp; Fire Sworn FTE count</t>
        </r>
      </text>
    </comment>
    <comment ref="D4" authorId="0" shapeId="0" xr:uid="{0E128BFD-2A3A-4713-B753-685E2A2B75CD}">
      <text>
        <r>
          <rPr>
            <b/>
            <sz val="9"/>
            <color indexed="81"/>
            <rFont val="Tahoma"/>
            <family val="2"/>
          </rPr>
          <t>McClain, Maggie:</t>
        </r>
        <r>
          <rPr>
            <sz val="9"/>
            <color indexed="81"/>
            <rFont val="Tahoma"/>
            <family val="2"/>
          </rPr>
          <t xml:space="preserve">
Total Teamster Budget (Health Insurance Retiree) divided by Teamster FTE count</t>
        </r>
      </text>
    </comment>
    <comment ref="D5" authorId="0" shapeId="0" xr:uid="{54D78457-29CA-4AEB-9184-9493E12F2238}">
      <text>
        <r>
          <rPr>
            <b/>
            <sz val="9"/>
            <color indexed="81"/>
            <rFont val="Tahoma"/>
            <family val="2"/>
          </rPr>
          <t>McClain, Maggie:</t>
        </r>
        <r>
          <rPr>
            <sz val="9"/>
            <color indexed="81"/>
            <rFont val="Tahoma"/>
            <family val="2"/>
          </rPr>
          <t xml:space="preserve">
Total VEBA amount (Post Employment Health Plans) divided by VEBA Employees FTE count</t>
        </r>
      </text>
    </comment>
    <comment ref="A7" authorId="0" shapeId="0" xr:uid="{E545CAE3-EC7A-4AC0-BC58-2CB77AEF9BCA}">
      <text>
        <r>
          <rPr>
            <b/>
            <sz val="9"/>
            <color indexed="81"/>
            <rFont val="Tahoma"/>
            <family val="2"/>
          </rPr>
          <t>McClain, Maggie:</t>
        </r>
        <r>
          <rPr>
            <sz val="9"/>
            <color indexed="81"/>
            <rFont val="Tahoma"/>
            <family val="2"/>
          </rPr>
          <t xml:space="preserve">
Pull from the Adopted Position Data file</t>
        </r>
      </text>
    </comment>
    <comment ref="L19" authorId="0" shapeId="0" xr:uid="{02B1BE1C-3505-4CE8-A643-3EA16A7E89FA}">
      <text>
        <r>
          <rPr>
            <b/>
            <sz val="9"/>
            <color indexed="81"/>
            <rFont val="Tahoma"/>
            <family val="2"/>
          </rPr>
          <t>McClain, Maggie:</t>
        </r>
        <r>
          <rPr>
            <sz val="9"/>
            <color indexed="81"/>
            <rFont val="Tahoma"/>
            <family val="2"/>
          </rPr>
          <t xml:space="preserve">
Intern stipend. Moved in 2026 budget.</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4138E9E-06B3-4502-9C53-5E68FF26D103}" odcFile="C:\Users\clmmm\OneDrive - cityofmadisonwi\Documents\My Data Sources\tylerlsn1 munprod_General Ledger Cubes Budget Projections Cube.odc" keepAlive="1" name="tylerlsn1 munprod_General Ledger Cubes Budget Projections Cube" description="Budget Projections" type="5" refreshedVersion="8" background="1">
    <dbPr connection="Provider=MSOLAP.8;Integrated Security=SSPI;Persist Security Info=True;Initial Catalog=munprod_General Ledger Cubes;Data Source=tylerlsn1;MDX Compatibility=1;Safety Options=2;MDX Missing Member Mode=Error;Update Isolation Level=2" command="Budget Projections Cube" commandType="1"/>
    <olapPr sendLocale="1" rowDrillCount="1000"/>
  </connection>
</connections>
</file>

<file path=xl/sharedStrings.xml><?xml version="1.0" encoding="utf-8"?>
<sst xmlns="http://schemas.openxmlformats.org/spreadsheetml/2006/main" count="125" uniqueCount="111">
  <si>
    <t>All</t>
  </si>
  <si>
    <t>Grand Total</t>
  </si>
  <si>
    <t>Level 07</t>
  </si>
  <si>
    <t>Object</t>
  </si>
  <si>
    <t>52110 - COMPENSATED ABSENCE ESCROW</t>
  </si>
  <si>
    <t>52210 - FLEXIBLE SPENDING BENEFITS</t>
  </si>
  <si>
    <t>52310 - UNEMPLOYMENT BENEFITS</t>
  </si>
  <si>
    <t>52410 - HEALTH INSURANCE BENEFIT</t>
  </si>
  <si>
    <t>52412 - LIFE INSURANCE BENEFIT</t>
  </si>
  <si>
    <t>52413 - WAGE INSURANCE BENEFIT</t>
  </si>
  <si>
    <t>52414 - IATSE HEALTH BENEFIT</t>
  </si>
  <si>
    <t>52420 - HEALTH INSURANCE RETIREE</t>
  </si>
  <si>
    <t>52421 - HEALTH INS POLICE FIRE RETIREE</t>
  </si>
  <si>
    <t>52510 - WI RETIREMENT SYSTEM</t>
  </si>
  <si>
    <t>52511 - WI RETIREMENT SYSTEM PRIOR SER</t>
  </si>
  <si>
    <t>52610 - FICA MEDICARE BENEFITS</t>
  </si>
  <si>
    <t>52710 - MOVING EXPENSES</t>
  </si>
  <si>
    <t>52712 - BUS PASS SUBSIDY</t>
  </si>
  <si>
    <t>52714 - LICENSES AND CERTIFICATIONS</t>
  </si>
  <si>
    <t>52715 - GRANT</t>
  </si>
  <si>
    <t>52814 - DEATH BENEFITS</t>
  </si>
  <si>
    <t>52111 - BENEFIT SAVINGS</t>
  </si>
  <si>
    <t>52711 - TUITION</t>
  </si>
  <si>
    <t>52713 - HOME PURCHASE ASSISTANCE B</t>
  </si>
  <si>
    <t>52425 - ACCIDENT DEATH DISMEMBER INSUR</t>
  </si>
  <si>
    <t>52411 - DENTAL INSURANCE BENEFIT</t>
  </si>
  <si>
    <t>52750 - OTHER POST EMPLOYMENT BENEFIT</t>
  </si>
  <si>
    <t>52810 - WORKERS COMPENSATION</t>
  </si>
  <si>
    <t>52718 - TOOL ALLOWANCE</t>
  </si>
  <si>
    <t>52820 - PENSION EXPENSE</t>
  </si>
  <si>
    <t>52812 - PERMANENT PARTIAL DISABILITY</t>
  </si>
  <si>
    <t>52717 - WORK PERMITS</t>
  </si>
  <si>
    <t>52811 - LOSS RUNS</t>
  </si>
  <si>
    <t>52815 - WORKERS COMPENSATION RESERVE</t>
  </si>
  <si>
    <t>Fund</t>
  </si>
  <si>
    <t>PHMDC</t>
  </si>
  <si>
    <t>Agency</t>
  </si>
  <si>
    <t>Police &amp; Fire</t>
  </si>
  <si>
    <t>Council</t>
  </si>
  <si>
    <t>Library</t>
  </si>
  <si>
    <t>Balance</t>
  </si>
  <si>
    <t>Benefit</t>
  </si>
  <si>
    <t>Groups</t>
  </si>
  <si>
    <t>Total Budget</t>
  </si>
  <si>
    <t>Rate</t>
  </si>
  <si>
    <t>Funds</t>
  </si>
  <si>
    <t>Wage Insurance</t>
  </si>
  <si>
    <t>All except PHMDC</t>
  </si>
  <si>
    <t>Sworn</t>
  </si>
  <si>
    <t>Teamster</t>
  </si>
  <si>
    <t>Metro</t>
  </si>
  <si>
    <t>VEBA</t>
  </si>
  <si>
    <t>Total FTE Count</t>
  </si>
  <si>
    <t>VEBA Employees</t>
  </si>
  <si>
    <t>Police &amp; Fire Sworn (Job Class A, B, C, D/CG 11, 12, 13, 14)</t>
  </si>
  <si>
    <t>Teamsters</t>
  </si>
  <si>
    <t>52425
52420
52711</t>
  </si>
  <si>
    <t>52716 - POST EMPLOYMENT HEALTH PLANS (VEBA)</t>
  </si>
  <si>
    <t>Non-VEBA</t>
  </si>
  <si>
    <t>Total</t>
  </si>
  <si>
    <t>Other Non-VEBA</t>
  </si>
  <si>
    <t>WRS</t>
  </si>
  <si>
    <t>FICA</t>
  </si>
  <si>
    <t>Misc</t>
  </si>
  <si>
    <t>Civilian-Non-VEBA</t>
  </si>
  <si>
    <t>Civilian-VEBA</t>
  </si>
  <si>
    <t>Sworn-Fire</t>
  </si>
  <si>
    <t>Sworn-Police</t>
  </si>
  <si>
    <t>Family</t>
  </si>
  <si>
    <t>City portion of premium</t>
  </si>
  <si>
    <t>Single</t>
  </si>
  <si>
    <t>Family-Teamster</t>
  </si>
  <si>
    <t>Single-Teamster</t>
  </si>
  <si>
    <t>Teamster contract 2022-2024</t>
  </si>
  <si>
    <t>Instructions &amp; Notes</t>
  </si>
  <si>
    <t>Position Title</t>
  </si>
  <si>
    <t>Sample Position</t>
  </si>
  <si>
    <t>Working title of proposed position</t>
  </si>
  <si>
    <t># FTEs</t>
  </si>
  <si>
    <t>Enter the FTE amount for the position (e.g. 1.0 for full time; 0.5 for half time). If you enter more than 1.0 FTE, the positions must be in the same compensation group and range.</t>
  </si>
  <si>
    <t>Enter salary for 1.0 FTE, even if the position will be part time. If the position is currently filled, enter the reference salary for the current employee. This can be found in Munis in the Employee Job/Salary record.</t>
  </si>
  <si>
    <t>Employee Type</t>
  </si>
  <si>
    <t>Select Civilian-VEBA for comp groups 16, 20, 23, 31, 32, 33 and 83. Select Civilian-Non-VEBA other civilian comp groups. Select Sworn for sworn Fire or Police employees. Select Teamster for Metro employees represented by Teamsters Local 695.</t>
  </si>
  <si>
    <t>Health Insurance</t>
  </si>
  <si>
    <t>When budgeting for new employees, assume single health insurance. Choose "Teamster" option when budgeting for Metro employees represented by Teamsters Local 695.</t>
  </si>
  <si>
    <t>Munis Object</t>
  </si>
  <si>
    <t xml:space="preserve">WRS </t>
  </si>
  <si>
    <t>Total Benefit Cost</t>
  </si>
  <si>
    <t>Total Cost</t>
  </si>
  <si>
    <t>Benefit Rate</t>
  </si>
  <si>
    <t>Teamster (Job Class Q&amp;R/CG 41&amp;42)</t>
  </si>
  <si>
    <t>MPPOA agreement, 2021-2025</t>
  </si>
  <si>
    <t>Association of Madison Police Supervisors, 2022-2025</t>
  </si>
  <si>
    <t>ETF WRS rates</t>
  </si>
  <si>
    <t>VEBA Comp Groups 16, 20, 23, 31, 32, 33 and 83</t>
  </si>
  <si>
    <t>IAF Local 311 agreement, 2022-2024</t>
  </si>
  <si>
    <t>Association of Madison Fire Supervisors, 2022-2024</t>
  </si>
  <si>
    <r>
      <t xml:space="preserve">Note that this tool is for </t>
    </r>
    <r>
      <rPr>
        <u/>
        <sz val="11"/>
        <color theme="1"/>
        <rFont val="Aptos Narrow"/>
        <family val="2"/>
        <scheme val="minor"/>
      </rPr>
      <t>budgeting only</t>
    </r>
    <r>
      <rPr>
        <sz val="11"/>
        <color theme="1"/>
        <rFont val="Aptos Narrow"/>
        <family val="2"/>
        <scheme val="minor"/>
      </rPr>
      <t>. It is not a fully burdened rate. An employee's benefits cost will vary based on their health insurance plan selection.</t>
    </r>
  </si>
  <si>
    <t>Fill in the green boxes.</t>
  </si>
  <si>
    <t>Misc Fringe*</t>
  </si>
  <si>
    <t>Estimated Position Budget</t>
  </si>
  <si>
    <t>*"Misc Fringe" includes wage insurance, VEBA (qualifying compensation groups), retiree health insurance contributions (Teamsters, sworn Fire and Police), and accidental death insurance (sworn Fire and Police)</t>
  </si>
  <si>
    <t>Refer to the HR salary schedules for current salaries. (Link)</t>
  </si>
  <si>
    <t>Be sure to choose the correct options in each dropdown menu (Cells C11 and C12). Detailed notes on how to complete each field are in the table below.</t>
  </si>
  <si>
    <t>2027 Estimated Employee Salary (3% COLA)</t>
  </si>
  <si>
    <t>2027 Budget Request: Employee Compensation Calculator</t>
  </si>
  <si>
    <t>Benefits vary based on compensation group and employee type.</t>
  </si>
  <si>
    <r>
      <t xml:space="preserve">PURPOSE: </t>
    </r>
    <r>
      <rPr>
        <sz val="11"/>
        <color theme="1"/>
        <rFont val="Aptos Narrow"/>
        <family val="2"/>
        <scheme val="minor"/>
      </rPr>
      <t xml:space="preserve">Use this version of the cost calculator tool to estimate the total cost for permanent employees </t>
    </r>
    <r>
      <rPr>
        <b/>
        <sz val="11"/>
        <color theme="1"/>
        <rFont val="Aptos Narrow"/>
        <family val="2"/>
        <scheme val="minor"/>
      </rPr>
      <t>in 2027</t>
    </r>
    <r>
      <rPr>
        <sz val="11"/>
        <color theme="1"/>
        <rFont val="Aptos Narrow"/>
        <family val="2"/>
        <scheme val="minor"/>
      </rPr>
      <t>.</t>
    </r>
  </si>
  <si>
    <t>Estimated Salary (1.0 FTE)
Use 2026 Salary Tables</t>
  </si>
  <si>
    <r>
      <t>INSTRUCTIONS:</t>
    </r>
    <r>
      <rPr>
        <sz val="11"/>
        <color theme="1"/>
        <rFont val="Aptos Narrow"/>
        <family val="2"/>
        <scheme val="minor"/>
      </rPr>
      <t xml:space="preserve"> Enter information in the</t>
    </r>
    <r>
      <rPr>
        <b/>
        <sz val="11"/>
        <color theme="1"/>
        <rFont val="Aptos Narrow"/>
        <family val="2"/>
        <scheme val="minor"/>
      </rPr>
      <t xml:space="preserve"> </t>
    </r>
    <r>
      <rPr>
        <b/>
        <sz val="11"/>
        <color theme="6"/>
        <rFont val="Aptos Narrow"/>
        <family val="2"/>
        <scheme val="minor"/>
      </rPr>
      <t>green</t>
    </r>
    <r>
      <rPr>
        <b/>
        <sz val="11"/>
        <color theme="1"/>
        <rFont val="Aptos Narrow"/>
        <family val="2"/>
        <scheme val="minor"/>
      </rPr>
      <t xml:space="preserve"> </t>
    </r>
    <r>
      <rPr>
        <sz val="11"/>
        <color theme="1"/>
        <rFont val="Aptos Narrow"/>
        <family val="2"/>
        <scheme val="minor"/>
      </rPr>
      <t xml:space="preserve">boxes below. Enter the salary based on current, 2026 salary tables. </t>
    </r>
    <r>
      <rPr>
        <b/>
        <sz val="11"/>
        <color theme="1"/>
        <rFont val="Aptos Narrow"/>
        <family val="2"/>
        <scheme val="minor"/>
      </rPr>
      <t xml:space="preserve"> </t>
    </r>
  </si>
  <si>
    <t>"Total cost" and "Benefit Rate" will calculate based on your entries. This will factor in a 3% Cost of Living Adjustment (COLA) for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</si>
</sst>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3" formatCode="_(* #,##0.00_);_(* \(#,##0.00\);_(* &quot;-&quot;??_);_(@_)"/>
    <numFmt numFmtId="164" formatCode="#,##0.00;\-#,##0.00"/>
    <numFmt numFmtId="165" formatCode="_(* #,##0_);_(* \(#,##0\);_(* &quot;-&quot;??_);_(@_)"/>
    <numFmt numFmtId="166" formatCode="0_);\(0\)"/>
  </numFmts>
  <fonts count="21" x14ac:knownFonts="1">
    <font>
      <sz val="11"/>
      <color theme="1"/>
      <name val="Aptos Narrow"/>
      <family val="2"/>
      <scheme val="minor"/>
    </font>
    <font>
      <sz val="11"/>
      <color theme="1"/>
      <name val="Aptos Narrow"/>
      <family val="2"/>
      <scheme val="minor"/>
    </font>
    <font>
      <b/>
      <sz val="11"/>
      <color theme="1"/>
      <name val="Aptos Narrow"/>
      <family val="2"/>
      <scheme val="minor"/>
    </font>
    <font>
      <b/>
      <sz val="10"/>
      <color theme="1"/>
      <name val="Aptos Narrow"/>
      <family val="2"/>
      <scheme val="minor"/>
    </font>
    <font>
      <sz val="10"/>
      <color theme="1"/>
      <name val="Aptos Narrow"/>
      <family val="2"/>
      <scheme val="minor"/>
    </font>
    <font>
      <sz val="10"/>
      <name val="Aptos Narrow"/>
      <family val="2"/>
      <scheme val="minor"/>
    </font>
    <font>
      <sz val="9"/>
      <color indexed="81"/>
      <name val="Tahoma"/>
      <family val="2"/>
    </font>
    <font>
      <b/>
      <sz val="9"/>
      <color indexed="81"/>
      <name val="Tahoma"/>
      <family val="2"/>
    </font>
    <font>
      <sz val="11"/>
      <name val="Calibri"/>
      <family val="2"/>
    </font>
    <font>
      <u/>
      <sz val="11"/>
      <color theme="10"/>
      <name val="Aptos Narrow"/>
      <family val="2"/>
      <scheme val="minor"/>
    </font>
    <font>
      <sz val="16"/>
      <color theme="1"/>
      <name val="Aptos Narrow"/>
      <family val="2"/>
      <scheme val="minor"/>
    </font>
    <font>
      <sz val="11"/>
      <name val="Aptos Narrow"/>
      <family val="2"/>
      <scheme val="minor"/>
    </font>
    <font>
      <sz val="11"/>
      <color theme="1"/>
      <name val="Calibri"/>
      <family val="2"/>
    </font>
    <font>
      <i/>
      <sz val="11"/>
      <color theme="1"/>
      <name val="Aptos Narrow"/>
      <family val="2"/>
      <scheme val="minor"/>
    </font>
    <font>
      <u/>
      <sz val="11"/>
      <color theme="1"/>
      <name val="Aptos Narrow"/>
      <family val="2"/>
      <scheme val="minor"/>
    </font>
    <font>
      <b/>
      <sz val="11"/>
      <name val="Aptos Narrow"/>
      <family val="2"/>
      <scheme val="minor"/>
    </font>
    <font>
      <b/>
      <i/>
      <sz val="11"/>
      <name val="Aptos Narrow"/>
      <family val="2"/>
      <scheme val="minor"/>
    </font>
    <font>
      <u/>
      <sz val="10"/>
      <color theme="1"/>
      <name val="Aptos Narrow"/>
      <family val="2"/>
      <scheme val="minor"/>
    </font>
    <font>
      <u val="double"/>
      <sz val="10"/>
      <color theme="1"/>
      <name val="Aptos Narrow"/>
      <family val="2"/>
      <scheme val="minor"/>
    </font>
    <font>
      <sz val="9"/>
      <color theme="1"/>
      <name val="Aptos Narrow"/>
      <family val="2"/>
      <scheme val="minor"/>
    </font>
    <font>
      <b/>
      <sz val="11"/>
      <color theme="6"/>
      <name val="Aptos Narrow"/>
      <family val="2"/>
      <scheme val="minor"/>
    </font>
  </fonts>
  <fills count="8">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9" tint="0.39997558519241921"/>
        <bgColor indexed="64"/>
      </patternFill>
    </fill>
  </fills>
  <borders count="18">
    <border>
      <left/>
      <right/>
      <top/>
      <bottom/>
      <diagonal/>
    </border>
    <border>
      <left/>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xf numFmtId="43" fontId="8" fillId="0" borderId="0" applyFont="0" applyFill="0" applyBorder="0" applyAlignment="0" applyProtection="0"/>
    <xf numFmtId="0" fontId="9" fillId="0" borderId="0" applyNumberFormat="0" applyFill="0" applyBorder="0" applyAlignment="0" applyProtection="0"/>
  </cellStyleXfs>
  <cellXfs count="89">
    <xf numFmtId="0" fontId="0" fillId="0" borderId="0" xfId="0"/>
    <xf numFmtId="164" fontId="0" fillId="0" borderId="0" xfId="0" applyNumberFormat="1"/>
    <xf numFmtId="43" fontId="0" fillId="0" borderId="0" xfId="1" applyFont="1"/>
    <xf numFmtId="0" fontId="3" fillId="0" borderId="0" xfId="0" applyFont="1"/>
    <xf numFmtId="165" fontId="3" fillId="0" borderId="0" xfId="1" applyNumberFormat="1" applyFont="1"/>
    <xf numFmtId="0" fontId="4" fillId="0" borderId="0" xfId="0" applyFont="1"/>
    <xf numFmtId="165" fontId="4" fillId="0" borderId="0" xfId="1" applyNumberFormat="1" applyFont="1"/>
    <xf numFmtId="166" fontId="4" fillId="0" borderId="0" xfId="1" applyNumberFormat="1" applyFont="1"/>
    <xf numFmtId="165" fontId="4" fillId="2" borderId="0" xfId="1" applyNumberFormat="1" applyFont="1" applyFill="1"/>
    <xf numFmtId="165" fontId="4" fillId="0" borderId="0" xfId="1" applyNumberFormat="1" applyFont="1" applyFill="1"/>
    <xf numFmtId="166" fontId="4" fillId="0" borderId="0" xfId="1" applyNumberFormat="1" applyFont="1" applyFill="1"/>
    <xf numFmtId="165" fontId="4" fillId="3" borderId="0" xfId="1" applyNumberFormat="1" applyFont="1" applyFill="1"/>
    <xf numFmtId="165" fontId="4" fillId="4" borderId="0" xfId="1" applyNumberFormat="1" applyFont="1" applyFill="1"/>
    <xf numFmtId="165" fontId="5" fillId="5" borderId="0" xfId="1" applyNumberFormat="1" applyFont="1" applyFill="1"/>
    <xf numFmtId="165" fontId="0" fillId="0" borderId="0" xfId="1" applyNumberFormat="1" applyFont="1"/>
    <xf numFmtId="165" fontId="0" fillId="5" borderId="0" xfId="1" applyNumberFormat="1" applyFont="1" applyFill="1"/>
    <xf numFmtId="165" fontId="0" fillId="0" borderId="0" xfId="0" applyNumberFormat="1"/>
    <xf numFmtId="165" fontId="0" fillId="2" borderId="0" xfId="1" applyNumberFormat="1" applyFont="1" applyFill="1"/>
    <xf numFmtId="166" fontId="4" fillId="0" borderId="0" xfId="1" applyNumberFormat="1" applyFont="1" applyFill="1" applyAlignment="1">
      <alignment wrapText="1"/>
    </xf>
    <xf numFmtId="165" fontId="4" fillId="0" borderId="1" xfId="1" applyNumberFormat="1" applyFont="1" applyBorder="1"/>
    <xf numFmtId="0" fontId="0" fillId="0" borderId="0" xfId="0" applyAlignment="1">
      <alignment horizontal="left"/>
    </xf>
    <xf numFmtId="10" fontId="0" fillId="0" borderId="0" xfId="2" applyNumberFormat="1" applyFont="1" applyFill="1"/>
    <xf numFmtId="10" fontId="0" fillId="0" borderId="0" xfId="2" applyNumberFormat="1" applyFont="1"/>
    <xf numFmtId="165" fontId="0" fillId="0" borderId="0" xfId="1" applyNumberFormat="1" applyFont="1" applyFill="1"/>
    <xf numFmtId="9" fontId="0" fillId="0" borderId="0" xfId="2" applyFont="1"/>
    <xf numFmtId="0" fontId="9" fillId="0" borderId="0" xfId="5"/>
    <xf numFmtId="43" fontId="0" fillId="0" borderId="0" xfId="0" applyNumberFormat="1"/>
    <xf numFmtId="0" fontId="9" fillId="0" borderId="0" xfId="5" applyAlignment="1">
      <alignment vertical="center" wrapText="1"/>
    </xf>
    <xf numFmtId="165" fontId="9" fillId="0" borderId="0" xfId="5" applyNumberFormat="1"/>
    <xf numFmtId="0" fontId="4" fillId="0" borderId="4" xfId="0" applyFont="1" applyBorder="1"/>
    <xf numFmtId="2" fontId="0" fillId="0" borderId="5" xfId="0" applyNumberFormat="1" applyBorder="1"/>
    <xf numFmtId="0" fontId="4" fillId="0" borderId="6" xfId="0" applyFont="1" applyBorder="1"/>
    <xf numFmtId="2" fontId="0" fillId="0" borderId="2" xfId="0" applyNumberFormat="1" applyBorder="1"/>
    <xf numFmtId="0" fontId="0" fillId="0" borderId="2" xfId="0" applyBorder="1"/>
    <xf numFmtId="0" fontId="3" fillId="0" borderId="6" xfId="0" applyFont="1" applyBorder="1"/>
    <xf numFmtId="2" fontId="0" fillId="0" borderId="2" xfId="1" applyNumberFormat="1" applyFont="1" applyBorder="1"/>
    <xf numFmtId="0" fontId="0" fillId="0" borderId="6" xfId="0" applyBorder="1"/>
    <xf numFmtId="0" fontId="0" fillId="0" borderId="7" xfId="0" applyBorder="1"/>
    <xf numFmtId="2" fontId="0" fillId="0" borderId="3" xfId="1" applyNumberFormat="1" applyFont="1" applyBorder="1"/>
    <xf numFmtId="43" fontId="0" fillId="6" borderId="0" xfId="1" applyFont="1" applyFill="1" applyBorder="1"/>
    <xf numFmtId="0" fontId="0" fillId="0" borderId="8" xfId="0" applyBorder="1"/>
    <xf numFmtId="43" fontId="0" fillId="0" borderId="9" xfId="1" applyFont="1" applyBorder="1"/>
    <xf numFmtId="0" fontId="0" fillId="0" borderId="10" xfId="0" applyBorder="1"/>
    <xf numFmtId="165" fontId="0" fillId="0" borderId="11" xfId="1" applyNumberFormat="1" applyFont="1" applyBorder="1"/>
    <xf numFmtId="165" fontId="4" fillId="2" borderId="11" xfId="1" applyNumberFormat="1" applyFont="1" applyFill="1" applyBorder="1"/>
    <xf numFmtId="165" fontId="4" fillId="4" borderId="11" xfId="1" applyNumberFormat="1" applyFont="1" applyFill="1" applyBorder="1"/>
    <xf numFmtId="0" fontId="0" fillId="0" borderId="12" xfId="0" applyBorder="1"/>
    <xf numFmtId="165" fontId="0" fillId="0" borderId="13" xfId="1" applyNumberFormat="1" applyFont="1" applyBorder="1"/>
    <xf numFmtId="43" fontId="4" fillId="6" borderId="0" xfId="1" applyFont="1" applyFill="1" applyBorder="1" applyAlignment="1">
      <alignment horizontal="left"/>
    </xf>
    <xf numFmtId="165" fontId="4" fillId="6" borderId="0" xfId="1" applyNumberFormat="1" applyFont="1" applyFill="1" applyBorder="1" applyAlignment="1">
      <alignment horizontal="left"/>
    </xf>
    <xf numFmtId="0" fontId="9" fillId="6" borderId="0" xfId="5" applyFill="1" applyBorder="1" applyAlignment="1">
      <alignment horizontal="left"/>
    </xf>
    <xf numFmtId="41" fontId="4" fillId="6" borderId="0" xfId="1" applyNumberFormat="1" applyFont="1" applyFill="1" applyBorder="1" applyAlignment="1">
      <alignment horizontal="left"/>
    </xf>
    <xf numFmtId="0" fontId="3" fillId="6" borderId="14" xfId="0" applyFont="1" applyFill="1" applyBorder="1" applyAlignment="1">
      <alignment wrapText="1"/>
    </xf>
    <xf numFmtId="165" fontId="5" fillId="6" borderId="14" xfId="1" applyNumberFormat="1" applyFont="1" applyFill="1" applyBorder="1" applyAlignment="1">
      <alignment horizontal="left" wrapText="1"/>
    </xf>
    <xf numFmtId="0" fontId="11" fillId="6" borderId="0" xfId="5" applyFont="1" applyFill="1" applyBorder="1" applyAlignment="1">
      <alignment horizontal="left" vertical="top" wrapText="1"/>
    </xf>
    <xf numFmtId="0" fontId="10" fillId="6" borderId="0" xfId="0" applyFont="1" applyFill="1" applyAlignment="1">
      <alignment horizontal="left"/>
    </xf>
    <xf numFmtId="0" fontId="0" fillId="6" borderId="0" xfId="0" applyFill="1" applyAlignment="1">
      <alignment horizontal="left"/>
    </xf>
    <xf numFmtId="0" fontId="0" fillId="6" borderId="0" xfId="0" applyFill="1"/>
    <xf numFmtId="0" fontId="2" fillId="6" borderId="0" xfId="0" applyFont="1" applyFill="1"/>
    <xf numFmtId="0" fontId="0" fillId="6" borderId="0" xfId="0" applyFill="1" applyAlignment="1">
      <alignment horizontal="left" wrapText="1"/>
    </xf>
    <xf numFmtId="0" fontId="2" fillId="6" borderId="0" xfId="0" applyFont="1" applyFill="1" applyAlignment="1">
      <alignment horizontal="left"/>
    </xf>
    <xf numFmtId="0" fontId="0" fillId="6" borderId="0" xfId="0" applyFill="1" applyAlignment="1">
      <alignment horizontal="left" vertical="top"/>
    </xf>
    <xf numFmtId="0" fontId="0" fillId="6" borderId="0" xfId="0" applyFill="1" applyAlignment="1">
      <alignment vertical="top"/>
    </xf>
    <xf numFmtId="43" fontId="0" fillId="6" borderId="0" xfId="0" applyNumberFormat="1" applyFill="1" applyAlignment="1">
      <alignment horizontal="left"/>
    </xf>
    <xf numFmtId="0" fontId="13" fillId="6" borderId="0" xfId="0" applyFont="1" applyFill="1"/>
    <xf numFmtId="43" fontId="13" fillId="6" borderId="0" xfId="0" applyNumberFormat="1" applyFont="1" applyFill="1"/>
    <xf numFmtId="0" fontId="12" fillId="6" borderId="0" xfId="0" applyFont="1" applyFill="1" applyAlignment="1">
      <alignment horizontal="left" indent="1"/>
    </xf>
    <xf numFmtId="0" fontId="12" fillId="6" borderId="0" xfId="0" applyFont="1" applyFill="1" applyAlignment="1">
      <alignment horizontal="left" indent="2"/>
    </xf>
    <xf numFmtId="0" fontId="3" fillId="6" borderId="14" xfId="0" applyFont="1" applyFill="1" applyBorder="1" applyAlignment="1">
      <alignment horizontal="left"/>
    </xf>
    <xf numFmtId="0" fontId="16" fillId="7" borderId="14" xfId="0" applyFont="1" applyFill="1" applyBorder="1" applyAlignment="1">
      <alignment horizontal="right" wrapText="1"/>
    </xf>
    <xf numFmtId="43" fontId="15" fillId="7" borderId="14" xfId="1" applyFont="1" applyFill="1" applyBorder="1" applyAlignment="1">
      <alignment horizontal="right"/>
    </xf>
    <xf numFmtId="165" fontId="15" fillId="7" borderId="14" xfId="1" applyNumberFormat="1" applyFont="1" applyFill="1" applyBorder="1" applyAlignment="1">
      <alignment horizontal="right"/>
    </xf>
    <xf numFmtId="0" fontId="15" fillId="7" borderId="14" xfId="0" applyFont="1" applyFill="1" applyBorder="1" applyAlignment="1">
      <alignment horizontal="right"/>
    </xf>
    <xf numFmtId="41" fontId="4" fillId="6" borderId="14" xfId="1" applyNumberFormat="1" applyFont="1" applyFill="1" applyBorder="1" applyAlignment="1">
      <alignment horizontal="left"/>
    </xf>
    <xf numFmtId="0" fontId="4" fillId="6" borderId="14" xfId="0" applyFont="1" applyFill="1" applyBorder="1" applyAlignment="1">
      <alignment horizontal="left"/>
    </xf>
    <xf numFmtId="165" fontId="3" fillId="6" borderId="14" xfId="1" applyNumberFormat="1" applyFont="1" applyFill="1" applyBorder="1" applyAlignment="1">
      <alignment horizontal="left"/>
    </xf>
    <xf numFmtId="10" fontId="3" fillId="6" borderId="14" xfId="2" applyNumberFormat="1" applyFont="1" applyFill="1" applyBorder="1" applyAlignment="1">
      <alignment horizontal="right"/>
    </xf>
    <xf numFmtId="0" fontId="17" fillId="6" borderId="14" xfId="0" applyFont="1" applyFill="1" applyBorder="1" applyAlignment="1">
      <alignment horizontal="left"/>
    </xf>
    <xf numFmtId="41" fontId="17" fillId="6" borderId="14" xfId="1" applyNumberFormat="1" applyFont="1" applyFill="1" applyBorder="1" applyAlignment="1">
      <alignment horizontal="left"/>
    </xf>
    <xf numFmtId="0" fontId="18" fillId="6" borderId="14" xfId="0" applyFont="1" applyFill="1" applyBorder="1" applyAlignment="1">
      <alignment horizontal="left"/>
    </xf>
    <xf numFmtId="41" fontId="18" fillId="6" borderId="14" xfId="1" applyNumberFormat="1" applyFont="1" applyFill="1" applyBorder="1" applyAlignment="1">
      <alignment horizontal="left"/>
    </xf>
    <xf numFmtId="0" fontId="4" fillId="6" borderId="14" xfId="0" applyFont="1" applyFill="1" applyBorder="1" applyAlignment="1">
      <alignment horizontal="left" wrapText="1"/>
    </xf>
    <xf numFmtId="0" fontId="3" fillId="6" borderId="14" xfId="0" applyFont="1" applyFill="1" applyBorder="1" applyAlignment="1">
      <alignment horizontal="left"/>
    </xf>
    <xf numFmtId="0" fontId="3" fillId="6" borderId="0" xfId="0" applyFont="1" applyFill="1" applyAlignment="1">
      <alignment horizontal="left"/>
    </xf>
    <xf numFmtId="0" fontId="0" fillId="6" borderId="15" xfId="0" applyFill="1" applyBorder="1" applyAlignment="1">
      <alignment horizontal="center"/>
    </xf>
    <xf numFmtId="0" fontId="0" fillId="6" borderId="16" xfId="0" applyFill="1" applyBorder="1" applyAlignment="1">
      <alignment horizontal="center"/>
    </xf>
    <xf numFmtId="0" fontId="0" fillId="6" borderId="17" xfId="0" applyFill="1" applyBorder="1" applyAlignment="1">
      <alignment horizontal="center"/>
    </xf>
    <xf numFmtId="0" fontId="19" fillId="6" borderId="0" xfId="0" applyFont="1" applyFill="1" applyAlignment="1">
      <alignment horizontal="left" wrapText="1"/>
    </xf>
    <xf numFmtId="0" fontId="3" fillId="6" borderId="14" xfId="0" applyFont="1" applyFill="1" applyBorder="1" applyAlignment="1">
      <alignment horizontal="left" wrapText="1"/>
    </xf>
  </cellXfs>
  <cellStyles count="6">
    <cellStyle name="Comma" xfId="1" builtinId="3"/>
    <cellStyle name="Comma 2" xfId="4" xr:uid="{0C82FE7E-B919-49D2-BE63-AEC72DE1C7D4}"/>
    <cellStyle name="Hyperlink" xfId="5" builtinId="8"/>
    <cellStyle name="Normal" xfId="0" builtinId="0"/>
    <cellStyle name="Normal 2" xfId="3" xr:uid="{3340D4B8-6336-46C0-A0EC-0FE7043606AC}"/>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273050</xdr:colOff>
      <xdr:row>9</xdr:row>
      <xdr:rowOff>85725</xdr:rowOff>
    </xdr:from>
    <xdr:to>
      <xdr:col>19</xdr:col>
      <xdr:colOff>48716</xdr:colOff>
      <xdr:row>15</xdr:row>
      <xdr:rowOff>28727</xdr:rowOff>
    </xdr:to>
    <xdr:pic>
      <xdr:nvPicPr>
        <xdr:cNvPr id="2" name="Picture 1">
          <a:extLst>
            <a:ext uri="{FF2B5EF4-FFF2-40B4-BE49-F238E27FC236}">
              <a16:creationId xmlns:a16="http://schemas.microsoft.com/office/drawing/2014/main" id="{983BCBB1-897B-425A-9B7D-B7FF4DA1DDBD}"/>
            </a:ext>
          </a:extLst>
        </xdr:cNvPr>
        <xdr:cNvPicPr>
          <a:picLocks noChangeAspect="1"/>
        </xdr:cNvPicPr>
      </xdr:nvPicPr>
      <xdr:blipFill>
        <a:blip xmlns:r="http://schemas.openxmlformats.org/officeDocument/2006/relationships" r:embed="rId1"/>
        <a:stretch>
          <a:fillRect/>
        </a:stretch>
      </xdr:blipFill>
      <xdr:spPr>
        <a:xfrm>
          <a:off x="5283200" y="1714500"/>
          <a:ext cx="7881441" cy="10288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data4/Fnroot/Data%20History/Budget%20Toolkit/Employee%20Cost%20Calculator/%22Misc%20Fringe%22%20benefits%20include%20wage%20insurance,%20VEBA%20(qualifying%20compensation%20groups),%20retiree%20health%20insurance%20contributions%20(Teamsters,%20sworm%20Fire%20and%20Police)%20and%20accidental%20death%20insurance%20(sworn%20Fire%20and%20Police)" TargetMode="Externa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cityofmadison.com/human-resources/documents/contracts/AMPS-2022-2025.pdf" TargetMode="External"/><Relationship Id="rId7" Type="http://schemas.openxmlformats.org/officeDocument/2006/relationships/printerSettings" Target="../printerSettings/printerSettings2.bin"/><Relationship Id="rId2" Type="http://schemas.openxmlformats.org/officeDocument/2006/relationships/hyperlink" Target="https://www.cityofmadison.com/human-resources/documents/contracts/MPPOA-2021.pdf" TargetMode="External"/><Relationship Id="rId1" Type="http://schemas.openxmlformats.org/officeDocument/2006/relationships/hyperlink" Target="https://www.cityofmadison.com/human-resources/documents/contracts/Local695-2022.pdf" TargetMode="External"/><Relationship Id="rId6" Type="http://schemas.openxmlformats.org/officeDocument/2006/relationships/hyperlink" Target="https://www.cityofmadison.com/human-resources/documents/contracts/AMFS-2022-2024.pdf" TargetMode="External"/><Relationship Id="rId5" Type="http://schemas.openxmlformats.org/officeDocument/2006/relationships/hyperlink" Target="https://www.cityofmadison.com/human-resources/documents/contracts/IAFF%20Local%20311%20Contract%202022%20Final.pdf" TargetMode="External"/><Relationship Id="rId10" Type="http://schemas.openxmlformats.org/officeDocument/2006/relationships/comments" Target="../comments1.xml"/><Relationship Id="rId4" Type="http://schemas.openxmlformats.org/officeDocument/2006/relationships/hyperlink" Target="https://etf.wi.gov/benefits/wrs-contribution-rates"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09BF5-F04B-49B3-917F-33949F0F3741}">
  <dimension ref="A1:XFC38"/>
  <sheetViews>
    <sheetView tabSelected="1" zoomScale="110" zoomScaleNormal="110" zoomScaleSheetLayoutView="80" zoomScalePageLayoutView="70" workbookViewId="0">
      <selection activeCell="C19" sqref="C19"/>
    </sheetView>
  </sheetViews>
  <sheetFormatPr defaultColWidth="0" defaultRowHeight="15" zeroHeight="1" x14ac:dyDescent="0.25"/>
  <cols>
    <col min="1" max="1" width="7.5703125" style="56" customWidth="1"/>
    <col min="2" max="2" width="16" style="56" customWidth="1"/>
    <col min="3" max="3" width="18.140625" style="56" bestFit="1" customWidth="1"/>
    <col min="4" max="4" width="88.85546875" style="49" customWidth="1"/>
    <col min="5" max="5" width="12" style="56" hidden="1" customWidth="1"/>
    <col min="6" max="6" width="10.5703125" style="57" hidden="1" customWidth="1"/>
    <col min="7" max="7" width="11.28515625" style="57" hidden="1" customWidth="1"/>
    <col min="8" max="8" width="13.5703125" style="57" hidden="1" customWidth="1"/>
    <col min="9" max="9" width="11.28515625" style="57" hidden="1" customWidth="1"/>
    <col min="10" max="10" width="20.140625" style="57" hidden="1" customWidth="1"/>
    <col min="11" max="12" width="9.5703125" style="57" hidden="1" customWidth="1"/>
    <col min="13" max="14" width="10.5703125" style="57" hidden="1" customWidth="1"/>
    <col min="15" max="15" width="11.5703125" style="57" hidden="1" customWidth="1"/>
    <col min="16" max="16383" width="8.7109375" style="57" hidden="1"/>
    <col min="16384" max="16384" width="5.42578125" style="57" hidden="1" customWidth="1"/>
  </cols>
  <sheetData>
    <row r="1" spans="1:15" ht="21" x14ac:dyDescent="0.35">
      <c r="A1" s="55" t="s">
        <v>105</v>
      </c>
      <c r="C1" s="55"/>
      <c r="D1" s="55"/>
      <c r="E1" s="55"/>
    </row>
    <row r="2" spans="1:15" ht="24.95" customHeight="1" x14ac:dyDescent="0.25">
      <c r="A2" s="58" t="s">
        <v>107</v>
      </c>
      <c r="B2" s="59"/>
      <c r="D2" s="59"/>
    </row>
    <row r="3" spans="1:15" x14ac:dyDescent="0.25">
      <c r="A3" s="57" t="s">
        <v>106</v>
      </c>
      <c r="B3" s="59"/>
      <c r="D3" s="59"/>
    </row>
    <row r="4" spans="1:15" x14ac:dyDescent="0.25">
      <c r="A4" s="56" t="s">
        <v>97</v>
      </c>
      <c r="B4" s="59"/>
      <c r="D4" s="59"/>
    </row>
    <row r="5" spans="1:15" ht="24.95" customHeight="1" x14ac:dyDescent="0.25">
      <c r="A5" s="60" t="s">
        <v>109</v>
      </c>
      <c r="D5" s="59"/>
    </row>
    <row r="6" spans="1:15" x14ac:dyDescent="0.25">
      <c r="A6" s="50" t="s">
        <v>102</v>
      </c>
      <c r="D6" s="50"/>
    </row>
    <row r="7" spans="1:15" x14ac:dyDescent="0.25">
      <c r="A7" s="61" t="s">
        <v>110</v>
      </c>
      <c r="D7" s="50"/>
    </row>
    <row r="8" spans="1:15" s="62" customFormat="1" ht="24.95" customHeight="1" x14ac:dyDescent="0.25">
      <c r="A8" s="61" t="s">
        <v>103</v>
      </c>
      <c r="B8" s="61"/>
      <c r="C8" s="61"/>
      <c r="D8" s="54"/>
      <c r="E8" s="61"/>
    </row>
    <row r="9" spans="1:15" ht="24.95" customHeight="1" x14ac:dyDescent="0.25">
      <c r="A9" s="82" t="s">
        <v>98</v>
      </c>
      <c r="B9" s="82"/>
      <c r="C9" s="82"/>
      <c r="D9" s="52" t="s">
        <v>74</v>
      </c>
    </row>
    <row r="10" spans="1:15" ht="28.5" customHeight="1" x14ac:dyDescent="0.25">
      <c r="A10" s="82" t="s">
        <v>75</v>
      </c>
      <c r="B10" s="82"/>
      <c r="C10" s="69" t="s">
        <v>76</v>
      </c>
      <c r="D10" s="53" t="s">
        <v>77</v>
      </c>
    </row>
    <row r="11" spans="1:15" ht="28.5" customHeight="1" x14ac:dyDescent="0.25">
      <c r="A11" s="82" t="s">
        <v>78</v>
      </c>
      <c r="B11" s="82"/>
      <c r="C11" s="70">
        <v>1</v>
      </c>
      <c r="D11" s="53" t="s">
        <v>79</v>
      </c>
    </row>
    <row r="12" spans="1:15" ht="28.5" customHeight="1" x14ac:dyDescent="0.25">
      <c r="A12" s="88" t="s">
        <v>108</v>
      </c>
      <c r="B12" s="82"/>
      <c r="C12" s="71">
        <v>68525</v>
      </c>
      <c r="D12" s="53" t="s">
        <v>80</v>
      </c>
    </row>
    <row r="13" spans="1:15" ht="40.5" x14ac:dyDescent="0.25">
      <c r="A13" s="82" t="s">
        <v>81</v>
      </c>
      <c r="B13" s="82"/>
      <c r="C13" s="71" t="s">
        <v>64</v>
      </c>
      <c r="D13" s="53" t="s">
        <v>82</v>
      </c>
    </row>
    <row r="14" spans="1:15" ht="28.5" customHeight="1" x14ac:dyDescent="0.25">
      <c r="A14" s="82" t="s">
        <v>83</v>
      </c>
      <c r="B14" s="82"/>
      <c r="C14" s="72" t="s">
        <v>70</v>
      </c>
      <c r="D14" s="53" t="s">
        <v>84</v>
      </c>
    </row>
    <row r="15" spans="1:15" ht="24.95" customHeight="1" x14ac:dyDescent="0.25">
      <c r="A15" s="83" t="s">
        <v>100</v>
      </c>
      <c r="B15" s="83"/>
      <c r="C15" s="83"/>
      <c r="D15" s="57"/>
      <c r="F15" s="58"/>
      <c r="G15" s="58"/>
      <c r="H15" s="58"/>
      <c r="I15" s="58"/>
      <c r="J15" s="58"/>
      <c r="K15" s="58"/>
      <c r="L15" s="58"/>
      <c r="M15" s="58"/>
      <c r="N15" s="58"/>
      <c r="O15" s="58"/>
    </row>
    <row r="16" spans="1:15" x14ac:dyDescent="0.25">
      <c r="A16" s="68" t="s">
        <v>85</v>
      </c>
      <c r="B16" s="68"/>
      <c r="C16" s="73"/>
      <c r="F16" s="39"/>
      <c r="G16" s="39"/>
      <c r="H16" s="39"/>
      <c r="I16" s="39"/>
      <c r="J16" s="39"/>
      <c r="K16" s="39"/>
      <c r="L16" s="39"/>
      <c r="M16" s="39"/>
      <c r="N16" s="39"/>
      <c r="O16" s="39"/>
    </row>
    <row r="17" spans="1:15" ht="40.5" x14ac:dyDescent="0.25">
      <c r="A17" s="74">
        <v>51110</v>
      </c>
      <c r="B17" s="81" t="s">
        <v>104</v>
      </c>
      <c r="C17" s="73">
        <f>C11*C12*1.03</f>
        <v>70580.75</v>
      </c>
      <c r="F17" s="39"/>
      <c r="G17" s="39"/>
      <c r="H17" s="39"/>
      <c r="I17" s="39"/>
      <c r="J17" s="39"/>
      <c r="K17" s="39"/>
      <c r="L17" s="39"/>
      <c r="M17" s="39"/>
      <c r="N17" s="39"/>
      <c r="O17" s="39"/>
    </row>
    <row r="18" spans="1:15" x14ac:dyDescent="0.25">
      <c r="A18" s="74">
        <v>52610</v>
      </c>
      <c r="B18" s="74" t="s">
        <v>62</v>
      </c>
      <c r="C18" s="73">
        <f>(VLOOKUP(C13,'WRS FICA Health'!A3:C7,3,FALSE))*C11*C12</f>
        <v>5242.1624999999995</v>
      </c>
      <c r="E18" s="63"/>
      <c r="F18" s="39"/>
      <c r="G18" s="39"/>
      <c r="H18" s="39"/>
      <c r="I18" s="39"/>
      <c r="J18" s="39"/>
      <c r="K18" s="39"/>
      <c r="L18" s="39"/>
      <c r="M18" s="39"/>
      <c r="N18" s="39"/>
      <c r="O18" s="39"/>
    </row>
    <row r="19" spans="1:15" x14ac:dyDescent="0.25">
      <c r="A19" s="74">
        <v>52510</v>
      </c>
      <c r="B19" s="74" t="s">
        <v>86</v>
      </c>
      <c r="C19" s="73">
        <f>(VLOOKUP(C13,'WRS FICA Health'!A3:B7,2,FALSE))*C11*C12</f>
        <v>4933.7999999999993</v>
      </c>
      <c r="E19" s="63"/>
      <c r="M19" s="64"/>
      <c r="N19" s="64"/>
      <c r="O19" s="65"/>
    </row>
    <row r="20" spans="1:15" x14ac:dyDescent="0.25">
      <c r="A20" s="74">
        <v>52413</v>
      </c>
      <c r="B20" s="74" t="s">
        <v>99</v>
      </c>
      <c r="C20" s="73">
        <f>VLOOKUP(C13,'WRS FICA Health'!A3:D7,4,FALSE)*C11</f>
        <v>583.8270641184115</v>
      </c>
      <c r="D20" s="66"/>
      <c r="E20" s="63"/>
    </row>
    <row r="21" spans="1:15" x14ac:dyDescent="0.25">
      <c r="A21" s="74">
        <v>52410</v>
      </c>
      <c r="B21" s="77" t="s">
        <v>83</v>
      </c>
      <c r="C21" s="78">
        <f>VLOOKUP(C14,'WRS FICA Health'!A11:B14,2,FALSE)*C11</f>
        <v>10143.48</v>
      </c>
      <c r="D21" s="67"/>
    </row>
    <row r="22" spans="1:15" x14ac:dyDescent="0.25">
      <c r="A22" s="84"/>
      <c r="B22" s="79" t="s">
        <v>87</v>
      </c>
      <c r="C22" s="80">
        <f>SUM(C18:C21)</f>
        <v>20903.269564118411</v>
      </c>
      <c r="D22" s="67"/>
      <c r="E22" s="63"/>
    </row>
    <row r="23" spans="1:15" x14ac:dyDescent="0.25">
      <c r="A23" s="85"/>
      <c r="B23" s="68" t="s">
        <v>88</v>
      </c>
      <c r="C23" s="75">
        <f>C17+C22</f>
        <v>91484.019564118411</v>
      </c>
      <c r="E23" s="63"/>
    </row>
    <row r="24" spans="1:15" x14ac:dyDescent="0.25">
      <c r="A24" s="86"/>
      <c r="B24" s="68" t="s">
        <v>89</v>
      </c>
      <c r="C24" s="76">
        <f>C22/C17</f>
        <v>0.29616105757049072</v>
      </c>
      <c r="E24" s="63"/>
    </row>
    <row r="25" spans="1:15" ht="27" customHeight="1" x14ac:dyDescent="0.25">
      <c r="A25" s="87" t="s">
        <v>101</v>
      </c>
      <c r="B25" s="87"/>
      <c r="C25" s="87"/>
      <c r="D25" s="87"/>
    </row>
    <row r="26" spans="1:15" hidden="1" x14ac:dyDescent="0.25">
      <c r="D26" s="48"/>
      <c r="E26" s="63"/>
    </row>
    <row r="27" spans="1:15" hidden="1" x14ac:dyDescent="0.25">
      <c r="E27" s="63"/>
    </row>
    <row r="28" spans="1:15" hidden="1" x14ac:dyDescent="0.25">
      <c r="E28" s="63"/>
    </row>
    <row r="30" spans="1:15" hidden="1" x14ac:dyDescent="0.25">
      <c r="D30" s="48"/>
      <c r="E30" s="63"/>
    </row>
    <row r="31" spans="1:15" hidden="1" x14ac:dyDescent="0.25">
      <c r="D31" s="48"/>
      <c r="E31" s="63"/>
    </row>
    <row r="32" spans="1:15" hidden="1" x14ac:dyDescent="0.25">
      <c r="E32" s="63"/>
    </row>
    <row r="33" spans="4:5" hidden="1" x14ac:dyDescent="0.25">
      <c r="D33" s="51"/>
      <c r="E33" s="63"/>
    </row>
    <row r="34" spans="4:5" hidden="1" x14ac:dyDescent="0.25">
      <c r="D34" s="51"/>
    </row>
    <row r="35" spans="4:5" hidden="1" x14ac:dyDescent="0.25">
      <c r="D35" s="51"/>
    </row>
    <row r="36" spans="4:5" hidden="1" x14ac:dyDescent="0.25">
      <c r="D36" s="51"/>
    </row>
    <row r="37" spans="4:5" hidden="1" x14ac:dyDescent="0.25">
      <c r="D37" s="51"/>
    </row>
    <row r="38" spans="4:5" x14ac:dyDescent="0.25"/>
  </sheetData>
  <dataConsolidate/>
  <mergeCells count="9">
    <mergeCell ref="A14:B14"/>
    <mergeCell ref="A15:C15"/>
    <mergeCell ref="A22:A24"/>
    <mergeCell ref="A25:D25"/>
    <mergeCell ref="A9:C9"/>
    <mergeCell ref="A10:B10"/>
    <mergeCell ref="A11:B11"/>
    <mergeCell ref="A12:B12"/>
    <mergeCell ref="A13:B13"/>
  </mergeCells>
  <hyperlinks>
    <hyperlink ref="A6" r:id="rId1" display="Refer to the HR salary schedules for current salaries." xr:uid="{E6C8AA36-B927-4544-8708-5AAA3B619D0B}"/>
  </hyperlinks>
  <pageMargins left="0.7" right="0.7" top="0.75" bottom="0.75" header="0.3" footer="0.3"/>
  <pageSetup scale="91" fitToWidth="0" fitToHeight="0" orientation="landscape" r:id="rId2"/>
  <rowBreaks count="1" manualBreakCount="1">
    <brk id="25" max="16383" man="1"/>
  </rowBreaks>
  <colBreaks count="1" manualBreakCount="1">
    <brk id="4"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9D204A11-7042-4323-B0D1-19DD8C2A87FA}">
          <x14:formula1>
            <xm:f>'WRS FICA Health'!$A$3:$A$7</xm:f>
          </x14:formula1>
          <xm:sqref>C13</xm:sqref>
        </x14:dataValidation>
        <x14:dataValidation type="list" allowBlank="1" showInputMessage="1" showErrorMessage="1" xr:uid="{C2C05B34-4BCE-420F-81D4-C52261D193D1}">
          <x14:formula1>
            <xm:f>'WRS FICA Health'!$A$11:$A$14</xm:f>
          </x14:formula1>
          <xm:sqref>C14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01413-0A1B-4B6A-833E-CDFFA4086D17}">
  <dimension ref="A2:J20"/>
  <sheetViews>
    <sheetView workbookViewId="0">
      <selection activeCell="D7" sqref="D7"/>
    </sheetView>
  </sheetViews>
  <sheetFormatPr defaultRowHeight="15" x14ac:dyDescent="0.25"/>
  <cols>
    <col min="1" max="1" width="30" customWidth="1"/>
    <col min="2" max="2" width="9.5703125" style="14" bestFit="1" customWidth="1"/>
    <col min="3" max="3" width="9.140625" style="14"/>
    <col min="4" max="4" width="9.5703125" style="14" bestFit="1" customWidth="1"/>
    <col min="9" max="9" width="10.5703125" style="26" bestFit="1" customWidth="1"/>
    <col min="10" max="10" width="9.5703125" style="26" bestFit="1" customWidth="1"/>
  </cols>
  <sheetData>
    <row r="2" spans="1:6" x14ac:dyDescent="0.25">
      <c r="B2" s="14" t="s">
        <v>61</v>
      </c>
      <c r="C2" s="14" t="s">
        <v>62</v>
      </c>
      <c r="D2" s="14" t="s">
        <v>63</v>
      </c>
      <c r="F2" s="28" t="s">
        <v>93</v>
      </c>
    </row>
    <row r="3" spans="1:6" x14ac:dyDescent="0.25">
      <c r="A3" s="20" t="s">
        <v>64</v>
      </c>
      <c r="B3" s="21">
        <v>7.1999999999999995E-2</v>
      </c>
      <c r="C3" s="22">
        <v>7.6499999999999999E-2</v>
      </c>
      <c r="D3" s="23">
        <f>MiscFringe!D2</f>
        <v>583.8270641184115</v>
      </c>
    </row>
    <row r="4" spans="1:6" x14ac:dyDescent="0.25">
      <c r="A4" s="20" t="s">
        <v>65</v>
      </c>
      <c r="B4" s="21">
        <v>7.1999999999999995E-2</v>
      </c>
      <c r="C4" s="22">
        <v>7.6499999999999999E-2</v>
      </c>
      <c r="D4" s="23">
        <f>MiscFringe!D2+MiscFringe!D5</f>
        <v>1890.3456946363121</v>
      </c>
    </row>
    <row r="5" spans="1:6" x14ac:dyDescent="0.25">
      <c r="A5" s="20" t="s">
        <v>66</v>
      </c>
      <c r="B5" s="21">
        <f>SUM(0.185+0.0041)</f>
        <v>0.18909999999999999</v>
      </c>
      <c r="C5" s="22">
        <v>1.4500000000000001E-2</v>
      </c>
      <c r="D5" s="23">
        <f>MiscFringe!D2+MiscFringe!D3</f>
        <v>2538.9086791626596</v>
      </c>
    </row>
    <row r="6" spans="1:6" x14ac:dyDescent="0.25">
      <c r="A6" s="20" t="s">
        <v>67</v>
      </c>
      <c r="B6" s="21">
        <f>SUM(0.147+0.0041)</f>
        <v>0.15109999999999998</v>
      </c>
      <c r="C6" s="22">
        <v>7.6499999999999999E-2</v>
      </c>
      <c r="D6" s="23">
        <f>MiscFringe!D2+MiscFringe!D3</f>
        <v>2538.9086791626596</v>
      </c>
    </row>
    <row r="7" spans="1:6" x14ac:dyDescent="0.25">
      <c r="A7" s="20" t="s">
        <v>49</v>
      </c>
      <c r="B7" s="21">
        <v>7.1999999999999995E-2</v>
      </c>
      <c r="C7" s="22">
        <v>7.6499999999999999E-2</v>
      </c>
      <c r="D7" s="23">
        <f>MiscFringe!D2+MiscFringe!D4</f>
        <v>1774.0281272106233</v>
      </c>
    </row>
    <row r="11" spans="1:6" x14ac:dyDescent="0.25">
      <c r="A11" t="s">
        <v>68</v>
      </c>
      <c r="B11" s="23">
        <v>24900.84</v>
      </c>
      <c r="C11" s="24">
        <v>0.88</v>
      </c>
      <c r="D11" s="14" t="s">
        <v>69</v>
      </c>
    </row>
    <row r="12" spans="1:6" x14ac:dyDescent="0.25">
      <c r="A12" t="s">
        <v>70</v>
      </c>
      <c r="B12" s="23">
        <v>10143.48</v>
      </c>
      <c r="C12" s="24">
        <v>0.88</v>
      </c>
      <c r="D12" s="14" t="s">
        <v>69</v>
      </c>
    </row>
    <row r="13" spans="1:6" x14ac:dyDescent="0.25">
      <c r="A13" t="s">
        <v>71</v>
      </c>
      <c r="B13" s="23">
        <v>24968.159999999996</v>
      </c>
      <c r="C13" s="24">
        <v>1</v>
      </c>
      <c r="D13" s="14" t="s">
        <v>69</v>
      </c>
    </row>
    <row r="14" spans="1:6" x14ac:dyDescent="0.25">
      <c r="A14" t="s">
        <v>72</v>
      </c>
      <c r="B14" s="23">
        <v>10190.16</v>
      </c>
      <c r="C14" s="24">
        <v>1</v>
      </c>
      <c r="D14" s="14" t="s">
        <v>69</v>
      </c>
    </row>
    <row r="16" spans="1:6" x14ac:dyDescent="0.25">
      <c r="A16" s="25" t="s">
        <v>73</v>
      </c>
    </row>
    <row r="17" spans="1:1" x14ac:dyDescent="0.25">
      <c r="A17" s="25" t="s">
        <v>91</v>
      </c>
    </row>
    <row r="18" spans="1:1" ht="30" x14ac:dyDescent="0.25">
      <c r="A18" s="27" t="s">
        <v>92</v>
      </c>
    </row>
    <row r="19" spans="1:1" x14ac:dyDescent="0.25">
      <c r="A19" s="25" t="s">
        <v>95</v>
      </c>
    </row>
    <row r="20" spans="1:1" x14ac:dyDescent="0.25">
      <c r="A20" s="25" t="s">
        <v>96</v>
      </c>
    </row>
  </sheetData>
  <hyperlinks>
    <hyperlink ref="A16" r:id="rId1" xr:uid="{AC626884-C543-478E-9A48-12BEB3D800A8}"/>
    <hyperlink ref="A17" r:id="rId2" xr:uid="{20495A8E-A2DE-4CCA-A95C-FCE7F0F226D5}"/>
    <hyperlink ref="A18" r:id="rId3" xr:uid="{B7763027-8451-4AA5-A9A8-2650CBEFBD4F}"/>
    <hyperlink ref="F2" r:id="rId4" xr:uid="{AC85AEAB-8FF0-45DB-BF9A-7CCF25130E98}"/>
    <hyperlink ref="A19" r:id="rId5" xr:uid="{EE4FEC9F-7D1E-4246-BE49-E96686703DD1}"/>
    <hyperlink ref="A20" r:id="rId6" xr:uid="{D37B768C-A415-40E5-A47A-A6E88C5C6509}"/>
  </hyperlinks>
  <pageMargins left="0.7" right="0.7" top="0.75" bottom="0.75" header="0.3" footer="0.3"/>
  <pageSetup orientation="portrait" r:id="rId7"/>
  <headerFooter>
    <oddFooter>&amp;L&amp;Z&amp;F
&amp;A</oddFooter>
  </headerFooter>
  <drawing r:id="rId8"/>
  <legacyDrawing r:id="rId9"/>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0FD0B-DA2F-453A-89AC-655AB3662FEB}">
  <dimension ref="A1:O34"/>
  <sheetViews>
    <sheetView zoomScale="106" zoomScaleNormal="106" workbookViewId="0">
      <selection activeCell="A8" sqref="A8"/>
    </sheetView>
  </sheetViews>
  <sheetFormatPr defaultRowHeight="15" x14ac:dyDescent="0.25"/>
  <cols>
    <col min="1" max="1" width="44" bestFit="1" customWidth="1"/>
    <col min="2" max="2" width="10" bestFit="1" customWidth="1"/>
    <col min="3" max="3" width="11.7109375" bestFit="1" customWidth="1"/>
    <col min="8" max="8" width="45" bestFit="1" customWidth="1"/>
    <col min="9" max="9" width="15.42578125" style="2" bestFit="1" customWidth="1"/>
    <col min="10" max="10" width="12.42578125" bestFit="1" customWidth="1"/>
    <col min="11" max="11" width="13.42578125" bestFit="1" customWidth="1"/>
    <col min="12" max="12" width="8.140625" bestFit="1" customWidth="1"/>
    <col min="13" max="13" width="8.5703125" bestFit="1" customWidth="1"/>
    <col min="14" max="14" width="10.28515625" bestFit="1" customWidth="1"/>
    <col min="15" max="15" width="13.42578125" bestFit="1" customWidth="1"/>
  </cols>
  <sheetData>
    <row r="1" spans="1:15" x14ac:dyDescent="0.25">
      <c r="A1" s="3" t="s">
        <v>41</v>
      </c>
      <c r="B1" s="3" t="s">
        <v>42</v>
      </c>
      <c r="C1" s="4" t="s">
        <v>43</v>
      </c>
      <c r="D1" s="4" t="s">
        <v>44</v>
      </c>
      <c r="E1" s="4" t="s">
        <v>3</v>
      </c>
      <c r="F1" s="4" t="s">
        <v>45</v>
      </c>
      <c r="J1" t="s">
        <v>34</v>
      </c>
      <c r="K1" t="s">
        <v>36</v>
      </c>
    </row>
    <row r="2" spans="1:15" x14ac:dyDescent="0.25">
      <c r="A2" s="5" t="s">
        <v>46</v>
      </c>
      <c r="B2" s="5" t="s">
        <v>0</v>
      </c>
      <c r="C2" s="13">
        <f>O10</f>
        <v>1842032.77</v>
      </c>
      <c r="D2" s="6">
        <f>C2/B7</f>
        <v>583.8270641184115</v>
      </c>
      <c r="E2" s="7">
        <v>52413</v>
      </c>
      <c r="F2" s="5" t="s">
        <v>47</v>
      </c>
      <c r="H2" s="40" t="s">
        <v>3</v>
      </c>
      <c r="I2" s="41" t="s">
        <v>2</v>
      </c>
      <c r="J2" t="s">
        <v>35</v>
      </c>
      <c r="K2" t="s">
        <v>37</v>
      </c>
      <c r="L2" t="s">
        <v>38</v>
      </c>
      <c r="M2" t="s">
        <v>39</v>
      </c>
      <c r="N2" t="s">
        <v>55</v>
      </c>
      <c r="O2" t="s">
        <v>40</v>
      </c>
    </row>
    <row r="3" spans="1:15" ht="40.5" x14ac:dyDescent="0.25">
      <c r="A3" s="5" t="s">
        <v>48</v>
      </c>
      <c r="B3" s="5" t="s">
        <v>37</v>
      </c>
      <c r="C3" s="8">
        <f>K12+K19+I14</f>
        <v>1767393.78</v>
      </c>
      <c r="D3" s="9">
        <f>C3/B8</f>
        <v>1955.0816150442479</v>
      </c>
      <c r="E3" s="18" t="s">
        <v>56</v>
      </c>
      <c r="F3" s="5" t="s">
        <v>0</v>
      </c>
      <c r="H3" s="42" t="s">
        <v>4</v>
      </c>
      <c r="I3" s="43">
        <v>4086984.0900000003</v>
      </c>
      <c r="J3" s="14"/>
      <c r="K3" s="14"/>
      <c r="L3" s="14"/>
      <c r="M3" s="14"/>
      <c r="N3" s="14"/>
      <c r="O3" s="14"/>
    </row>
    <row r="4" spans="1:15" x14ac:dyDescent="0.25">
      <c r="A4" s="5" t="s">
        <v>49</v>
      </c>
      <c r="B4" s="5" t="s">
        <v>0</v>
      </c>
      <c r="C4" s="11">
        <f>N12</f>
        <v>515000</v>
      </c>
      <c r="D4" s="9">
        <f>C4/B10</f>
        <v>1190.2010630922118</v>
      </c>
      <c r="E4" s="10">
        <v>52420</v>
      </c>
      <c r="F4" s="5" t="s">
        <v>50</v>
      </c>
      <c r="H4" s="42" t="s">
        <v>21</v>
      </c>
      <c r="I4" s="43">
        <v>-286013.03000000003</v>
      </c>
      <c r="J4" s="14"/>
      <c r="K4" s="14"/>
      <c r="L4" s="14"/>
      <c r="M4" s="14"/>
      <c r="N4" s="14"/>
      <c r="O4" s="14"/>
    </row>
    <row r="5" spans="1:15" x14ac:dyDescent="0.25">
      <c r="A5" s="5" t="s">
        <v>51</v>
      </c>
      <c r="B5" s="5"/>
      <c r="C5" s="12">
        <f>I24</f>
        <v>1127656.23</v>
      </c>
      <c r="D5" s="19">
        <f>C5/B9</f>
        <v>1306.5186305179006</v>
      </c>
      <c r="E5" s="7">
        <v>52716</v>
      </c>
      <c r="F5" s="5" t="s">
        <v>0</v>
      </c>
      <c r="H5" s="42" t="s">
        <v>5</v>
      </c>
      <c r="I5" s="43">
        <v>35600</v>
      </c>
      <c r="J5" s="14"/>
      <c r="K5" s="14"/>
      <c r="L5" s="14"/>
      <c r="M5" s="14"/>
      <c r="N5" s="14"/>
      <c r="O5" s="14"/>
    </row>
    <row r="6" spans="1:15" ht="15.75" thickBot="1" x14ac:dyDescent="0.3">
      <c r="A6" s="5"/>
      <c r="B6" s="5"/>
      <c r="C6" s="9"/>
      <c r="D6" s="6">
        <f>SUM(D2:D5)</f>
        <v>5035.6283727727723</v>
      </c>
      <c r="E6" s="7"/>
      <c r="F6" s="5"/>
      <c r="H6" s="42" t="s">
        <v>6</v>
      </c>
      <c r="I6" s="43">
        <v>311683.40000000002</v>
      </c>
      <c r="J6" s="14"/>
      <c r="K6" s="14"/>
      <c r="L6" s="14"/>
      <c r="M6" s="14"/>
      <c r="N6" s="14"/>
      <c r="O6" s="14"/>
    </row>
    <row r="7" spans="1:15" x14ac:dyDescent="0.25">
      <c r="A7" s="29" t="s">
        <v>52</v>
      </c>
      <c r="B7" s="30">
        <v>3155.1</v>
      </c>
      <c r="H7" s="42" t="s">
        <v>7</v>
      </c>
      <c r="I7" s="43">
        <v>57901797.979999989</v>
      </c>
      <c r="J7" s="14"/>
      <c r="K7" s="14"/>
      <c r="L7" s="14"/>
      <c r="M7" s="14"/>
      <c r="N7" s="14"/>
      <c r="O7" s="14"/>
    </row>
    <row r="8" spans="1:15" x14ac:dyDescent="0.25">
      <c r="A8" s="31" t="s">
        <v>54</v>
      </c>
      <c r="B8" s="32">
        <v>904</v>
      </c>
      <c r="H8" s="42" t="s">
        <v>25</v>
      </c>
      <c r="I8" s="43">
        <v>300557.63</v>
      </c>
      <c r="J8" s="14"/>
      <c r="K8" s="14"/>
      <c r="L8" s="14"/>
      <c r="M8" s="14"/>
      <c r="N8" s="14"/>
      <c r="O8" s="14"/>
    </row>
    <row r="9" spans="1:15" x14ac:dyDescent="0.25">
      <c r="A9" s="31" t="s">
        <v>53</v>
      </c>
      <c r="B9" s="32">
        <v>863.1</v>
      </c>
      <c r="H9" s="42" t="s">
        <v>8</v>
      </c>
      <c r="I9" s="43">
        <v>50340.86</v>
      </c>
      <c r="J9" s="14"/>
      <c r="K9" s="14"/>
      <c r="L9" s="14"/>
      <c r="M9" s="14"/>
      <c r="N9" s="14"/>
      <c r="O9" s="14"/>
    </row>
    <row r="10" spans="1:15" x14ac:dyDescent="0.25">
      <c r="A10" s="31" t="s">
        <v>90</v>
      </c>
      <c r="B10" s="32">
        <v>432.7</v>
      </c>
      <c r="H10" s="42" t="s">
        <v>9</v>
      </c>
      <c r="I10" s="43">
        <v>1851119.03</v>
      </c>
      <c r="J10" s="14">
        <v>9086.2599999999984</v>
      </c>
      <c r="K10" s="14"/>
      <c r="L10" s="14"/>
      <c r="M10" s="14"/>
      <c r="N10" s="14"/>
      <c r="O10" s="15">
        <f>I10-J10</f>
        <v>1842032.77</v>
      </c>
    </row>
    <row r="11" spans="1:15" x14ac:dyDescent="0.25">
      <c r="A11" s="31" t="s">
        <v>60</v>
      </c>
      <c r="B11" s="33">
        <v>955.3</v>
      </c>
      <c r="H11" s="42" t="s">
        <v>10</v>
      </c>
      <c r="I11" s="43">
        <v>43780</v>
      </c>
      <c r="J11" s="14"/>
      <c r="K11" s="14"/>
      <c r="L11" s="14"/>
      <c r="M11" s="14"/>
      <c r="N11" s="14"/>
      <c r="O11" s="14"/>
    </row>
    <row r="12" spans="1:15" x14ac:dyDescent="0.25">
      <c r="A12" s="31"/>
      <c r="B12" s="33"/>
      <c r="H12" s="42" t="s">
        <v>11</v>
      </c>
      <c r="I12" s="43">
        <v>1922633.78</v>
      </c>
      <c r="J12" s="14">
        <v>288200</v>
      </c>
      <c r="K12" s="8">
        <v>1112103.78</v>
      </c>
      <c r="L12" s="14"/>
      <c r="M12" s="16">
        <v>7330</v>
      </c>
      <c r="N12" s="11">
        <v>515000</v>
      </c>
      <c r="O12" s="14"/>
    </row>
    <row r="13" spans="1:15" x14ac:dyDescent="0.25">
      <c r="A13" s="34" t="s">
        <v>94</v>
      </c>
      <c r="B13" s="33"/>
      <c r="C13" s="4"/>
      <c r="H13" s="42" t="s">
        <v>12</v>
      </c>
      <c r="I13" s="43">
        <v>660000</v>
      </c>
      <c r="J13" s="14"/>
      <c r="K13" s="14"/>
      <c r="L13" s="14"/>
      <c r="M13" s="14"/>
      <c r="N13" s="14"/>
      <c r="O13" s="14"/>
    </row>
    <row r="14" spans="1:15" x14ac:dyDescent="0.25">
      <c r="A14" s="31" t="s">
        <v>59</v>
      </c>
      <c r="B14" s="35">
        <v>3155.1</v>
      </c>
      <c r="H14" s="42" t="s">
        <v>24</v>
      </c>
      <c r="I14" s="44">
        <v>524000</v>
      </c>
      <c r="J14" s="14"/>
      <c r="K14" s="14"/>
      <c r="L14" s="14"/>
      <c r="M14" s="14"/>
      <c r="N14" s="14"/>
      <c r="O14" s="14"/>
    </row>
    <row r="15" spans="1:15" x14ac:dyDescent="0.25">
      <c r="A15" s="36" t="s">
        <v>58</v>
      </c>
      <c r="B15" s="35">
        <v>2292</v>
      </c>
      <c r="H15" s="42" t="s">
        <v>13</v>
      </c>
      <c r="I15" s="43">
        <v>29935237.450000003</v>
      </c>
      <c r="J15" s="14"/>
      <c r="K15" s="14"/>
      <c r="L15" s="14"/>
      <c r="M15" s="14"/>
      <c r="N15" s="14"/>
      <c r="O15" s="14"/>
    </row>
    <row r="16" spans="1:15" ht="15.75" thickBot="1" x14ac:dyDescent="0.3">
      <c r="A16" s="37" t="s">
        <v>51</v>
      </c>
      <c r="B16" s="38">
        <v>863.1</v>
      </c>
      <c r="H16" s="42" t="s">
        <v>14</v>
      </c>
      <c r="I16" s="43">
        <v>24000</v>
      </c>
      <c r="J16" s="14"/>
      <c r="K16" s="14"/>
      <c r="L16" s="14"/>
      <c r="M16" s="14"/>
      <c r="N16" s="14"/>
      <c r="O16" s="14"/>
    </row>
    <row r="17" spans="8:15" x14ac:dyDescent="0.25">
      <c r="H17" s="42" t="s">
        <v>15</v>
      </c>
      <c r="I17" s="43">
        <v>19688349.419999994</v>
      </c>
      <c r="J17" s="14"/>
      <c r="K17" s="14"/>
      <c r="L17" s="14"/>
      <c r="M17" s="14"/>
      <c r="N17" s="14"/>
      <c r="O17" s="14"/>
    </row>
    <row r="18" spans="8:15" x14ac:dyDescent="0.25">
      <c r="H18" s="42" t="s">
        <v>16</v>
      </c>
      <c r="I18" s="43">
        <v>0</v>
      </c>
      <c r="J18" s="14"/>
      <c r="K18" s="14"/>
      <c r="L18" s="14"/>
      <c r="M18" s="14"/>
      <c r="N18" s="14"/>
      <c r="O18" s="14"/>
    </row>
    <row r="19" spans="8:15" x14ac:dyDescent="0.25">
      <c r="H19" s="42" t="s">
        <v>22</v>
      </c>
      <c r="I19" s="43">
        <v>131290</v>
      </c>
      <c r="J19" s="14"/>
      <c r="K19" s="17">
        <v>131290</v>
      </c>
      <c r="L19" s="1">
        <v>0</v>
      </c>
      <c r="M19" s="14"/>
      <c r="N19" s="14"/>
      <c r="O19" s="14"/>
    </row>
    <row r="20" spans="8:15" x14ac:dyDescent="0.25">
      <c r="H20" s="42" t="s">
        <v>17</v>
      </c>
      <c r="I20" s="43">
        <v>150000</v>
      </c>
      <c r="J20" s="14"/>
      <c r="K20" s="14"/>
      <c r="L20" s="14"/>
      <c r="M20" s="14"/>
      <c r="N20" s="14"/>
      <c r="O20" s="14"/>
    </row>
    <row r="21" spans="8:15" x14ac:dyDescent="0.25">
      <c r="H21" s="42" t="s">
        <v>23</v>
      </c>
      <c r="I21" s="43">
        <v>0</v>
      </c>
      <c r="J21" s="14"/>
      <c r="K21" s="14"/>
      <c r="L21" s="14"/>
      <c r="M21" s="14"/>
      <c r="N21" s="14"/>
      <c r="O21" s="14"/>
    </row>
    <row r="22" spans="8:15" x14ac:dyDescent="0.25">
      <c r="H22" s="42" t="s">
        <v>18</v>
      </c>
      <c r="I22" s="43">
        <v>10750</v>
      </c>
      <c r="J22" s="14"/>
      <c r="K22" s="14"/>
      <c r="L22" s="14"/>
      <c r="M22" s="14"/>
      <c r="N22" s="14"/>
      <c r="O22" s="14"/>
    </row>
    <row r="23" spans="8:15" x14ac:dyDescent="0.25">
      <c r="H23" s="42" t="s">
        <v>19</v>
      </c>
      <c r="I23" s="43">
        <v>0</v>
      </c>
      <c r="J23" s="14"/>
      <c r="K23" s="14"/>
      <c r="L23" s="14"/>
      <c r="M23" s="14"/>
      <c r="N23" s="14"/>
      <c r="O23" s="14"/>
    </row>
    <row r="24" spans="8:15" x14ac:dyDescent="0.25">
      <c r="H24" s="42" t="s">
        <v>57</v>
      </c>
      <c r="I24" s="45">
        <v>1127656.23</v>
      </c>
      <c r="J24" s="14"/>
      <c r="K24" s="14"/>
      <c r="L24" s="14"/>
      <c r="M24" s="14"/>
      <c r="N24" s="14"/>
      <c r="O24" s="14"/>
    </row>
    <row r="25" spans="8:15" x14ac:dyDescent="0.25">
      <c r="H25" s="42" t="s">
        <v>31</v>
      </c>
      <c r="I25" s="43">
        <v>0</v>
      </c>
      <c r="J25" s="14"/>
      <c r="K25" s="14"/>
      <c r="L25" s="14"/>
      <c r="M25" s="14"/>
      <c r="N25" s="14"/>
      <c r="O25" s="14"/>
    </row>
    <row r="26" spans="8:15" x14ac:dyDescent="0.25">
      <c r="H26" s="42" t="s">
        <v>28</v>
      </c>
      <c r="I26" s="43">
        <v>21120</v>
      </c>
      <c r="J26" s="14"/>
      <c r="K26" s="14"/>
      <c r="L26" s="14"/>
      <c r="M26" s="14"/>
      <c r="N26" s="14"/>
      <c r="O26" s="14"/>
    </row>
    <row r="27" spans="8:15" x14ac:dyDescent="0.25">
      <c r="H27" s="42" t="s">
        <v>26</v>
      </c>
      <c r="I27" s="43">
        <v>255000</v>
      </c>
      <c r="J27" s="14"/>
      <c r="K27" s="14"/>
      <c r="L27" s="14"/>
      <c r="M27" s="14"/>
      <c r="N27" s="14"/>
      <c r="O27" s="14"/>
    </row>
    <row r="28" spans="8:15" x14ac:dyDescent="0.25">
      <c r="H28" s="42" t="s">
        <v>27</v>
      </c>
      <c r="I28" s="43">
        <v>121200</v>
      </c>
      <c r="J28" s="14"/>
      <c r="K28" s="14"/>
      <c r="L28" s="14"/>
      <c r="M28" s="14"/>
      <c r="N28" s="14"/>
      <c r="O28" s="14"/>
    </row>
    <row r="29" spans="8:15" x14ac:dyDescent="0.25">
      <c r="H29" s="42" t="s">
        <v>32</v>
      </c>
      <c r="I29" s="43">
        <v>200000</v>
      </c>
      <c r="J29" s="14"/>
      <c r="K29" s="14"/>
      <c r="L29" s="14"/>
      <c r="M29" s="14"/>
      <c r="N29" s="14"/>
      <c r="O29" s="14"/>
    </row>
    <row r="30" spans="8:15" x14ac:dyDescent="0.25">
      <c r="H30" s="42" t="s">
        <v>30</v>
      </c>
      <c r="I30" s="43">
        <v>0</v>
      </c>
      <c r="J30" s="14"/>
      <c r="K30" s="14"/>
      <c r="L30" s="14"/>
      <c r="M30" s="14"/>
      <c r="N30" s="14"/>
      <c r="O30" s="14"/>
    </row>
    <row r="31" spans="8:15" x14ac:dyDescent="0.25">
      <c r="H31" s="42" t="s">
        <v>20</v>
      </c>
      <c r="I31" s="43">
        <v>0</v>
      </c>
      <c r="J31" s="14"/>
      <c r="K31" s="14"/>
      <c r="L31" s="14"/>
      <c r="M31" s="14"/>
      <c r="N31" s="14"/>
      <c r="O31" s="14"/>
    </row>
    <row r="32" spans="8:15" x14ac:dyDescent="0.25">
      <c r="H32" s="42" t="s">
        <v>33</v>
      </c>
      <c r="I32" s="43">
        <v>0</v>
      </c>
      <c r="J32" s="14"/>
      <c r="K32" s="14"/>
      <c r="L32" s="14"/>
      <c r="M32" s="14"/>
      <c r="N32" s="14"/>
      <c r="O32" s="14"/>
    </row>
    <row r="33" spans="8:15" x14ac:dyDescent="0.25">
      <c r="H33" s="42" t="s">
        <v>29</v>
      </c>
      <c r="I33" s="43">
        <v>557324.32999999996</v>
      </c>
      <c r="J33" s="14"/>
      <c r="K33" s="14"/>
      <c r="L33" s="14"/>
      <c r="M33" s="14"/>
      <c r="N33" s="14"/>
      <c r="O33" s="14"/>
    </row>
    <row r="34" spans="8:15" x14ac:dyDescent="0.25">
      <c r="H34" s="46" t="s">
        <v>1</v>
      </c>
      <c r="I34" s="47">
        <v>119624411.17000003</v>
      </c>
      <c r="J34" s="14"/>
      <c r="K34" s="14"/>
      <c r="L34" s="14"/>
      <c r="M34" s="14"/>
      <c r="N34" s="14"/>
      <c r="O34" s="14"/>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Calculator</vt:lpstr>
      <vt:lpstr>WRS FICA Health</vt:lpstr>
      <vt:lpstr>MiscFringe</vt:lpstr>
    </vt:vector>
  </TitlesOfParts>
  <Company>City of Madison, WI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McClain, Maggie</dc:creator>
  <cp:lastModifiedBy>Document Services</cp:lastModifiedBy>
  <dcterms:created xsi:type="dcterms:W3CDTF">2024-12-10T17:37:43Z</dcterms:created>
  <dcterms:modified xsi:type="dcterms:W3CDTF">2026-06-18T13:41:57Z</dcterms:modified>
</cp:coreProperties>
</file>