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drawings/drawing1.xml" ContentType="application/vnd.openxmlformats-officedocument.drawing+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Z:\police\documents\"/>
    </mc:Choice>
  </mc:AlternateContent>
  <xr:revisionPtr revIDLastSave="0" documentId="13_ncr:1_{AD538F60-615F-4643-8787-1C02BC2B1759}" xr6:coauthVersionLast="47" xr6:coauthVersionMax="47" xr10:uidLastSave="{00000000-0000-0000-0000-000000000000}"/>
  <workbookProtection lockStructure="1"/>
  <bookViews>
    <workbookView xWindow="0" yWindow="0" windowWidth="14400" windowHeight="15600" xr2:uid="{00000000-000D-0000-FFFF-FFFF00000000}"/>
  </bookViews>
  <sheets>
    <sheet name="IBR" sheetId="6" r:id="rId1"/>
    <sheet name="Arrests" sheetId="1" state="hidden" r:id="rId2"/>
    <sheet name="Traffic Stops" sheetId="2" state="hidden" r:id="rId3"/>
    <sheet name="Use of Force" sheetId="9"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1" i="6" l="1"/>
  <c r="E55" i="6"/>
  <c r="F44" i="9"/>
  <c r="F117" i="9"/>
  <c r="F109" i="9"/>
  <c r="F101" i="9"/>
  <c r="C71" i="6" l="1"/>
  <c r="D71" i="6" l="1"/>
  <c r="M53" i="1"/>
  <c r="D53" i="1"/>
  <c r="D55" i="6"/>
  <c r="C53" i="1"/>
  <c r="L55" i="1"/>
  <c r="C55" i="6"/>
  <c r="E125" i="9"/>
  <c r="E117" i="9"/>
  <c r="E109" i="9"/>
  <c r="E101" i="9"/>
  <c r="E44" i="9"/>
  <c r="K53" i="1"/>
  <c r="D125" i="9"/>
  <c r="D117" i="9"/>
  <c r="D109" i="9"/>
  <c r="D101" i="9"/>
  <c r="N47" i="1" l="1"/>
  <c r="M47" i="1"/>
  <c r="L47" i="1"/>
  <c r="K47" i="1"/>
  <c r="O46" i="1"/>
  <c r="O45" i="1"/>
  <c r="O44" i="1"/>
  <c r="B53" i="1"/>
  <c r="O56" i="1"/>
  <c r="N55" i="1"/>
  <c r="M55" i="1"/>
  <c r="O54" i="1"/>
  <c r="O53" i="1"/>
  <c r="K55" i="1"/>
  <c r="O52" i="1"/>
  <c r="O51" i="1"/>
  <c r="O50" i="1"/>
  <c r="N39" i="1"/>
  <c r="M39" i="1"/>
  <c r="L39" i="1"/>
  <c r="K39" i="1"/>
  <c r="O38" i="1"/>
  <c r="O37" i="1"/>
  <c r="O36" i="1"/>
  <c r="O35" i="1"/>
  <c r="O34" i="1"/>
  <c r="O33" i="1"/>
  <c r="O32" i="1"/>
  <c r="O30" i="1"/>
  <c r="O29" i="1"/>
  <c r="O28" i="1"/>
  <c r="O26" i="1"/>
  <c r="O25" i="1"/>
  <c r="O24" i="1"/>
  <c r="O23" i="1"/>
  <c r="O22" i="1"/>
  <c r="O21" i="1"/>
  <c r="O20" i="1"/>
  <c r="O19" i="1"/>
  <c r="O18" i="1"/>
  <c r="O17" i="1"/>
  <c r="O16" i="1"/>
  <c r="O15" i="1"/>
  <c r="O14" i="1"/>
  <c r="O13" i="1"/>
  <c r="O12" i="1"/>
  <c r="O11" i="1"/>
  <c r="O10" i="1"/>
  <c r="O9" i="1"/>
  <c r="O8" i="1"/>
  <c r="O7" i="1"/>
  <c r="O6" i="1"/>
  <c r="O5" i="1"/>
  <c r="O4" i="1"/>
  <c r="O3" i="1"/>
  <c r="B71" i="6"/>
  <c r="B55" i="6"/>
  <c r="G133" i="9"/>
  <c r="G125" i="9"/>
  <c r="G117" i="9"/>
  <c r="G109" i="9"/>
  <c r="G101" i="9"/>
  <c r="O47" i="1" l="1"/>
  <c r="P44" i="1" s="1"/>
  <c r="O55" i="1"/>
  <c r="O39" i="1"/>
  <c r="P36" i="1" s="1"/>
  <c r="P45" i="1" l="1"/>
  <c r="P46" i="1"/>
  <c r="P56" i="1"/>
  <c r="P51" i="1"/>
  <c r="P52" i="1"/>
  <c r="P53" i="1"/>
  <c r="P54" i="1"/>
  <c r="P50" i="1"/>
  <c r="P9" i="1"/>
  <c r="P31" i="1"/>
  <c r="P8" i="1"/>
  <c r="P7" i="1"/>
  <c r="P17" i="1"/>
  <c r="P35" i="1"/>
  <c r="P11" i="1"/>
  <c r="P24" i="1"/>
  <c r="P26" i="1"/>
  <c r="P38" i="1"/>
  <c r="P12" i="1"/>
  <c r="P21" i="1"/>
  <c r="P10" i="1"/>
  <c r="P15" i="1"/>
  <c r="P4" i="1"/>
  <c r="P25" i="1"/>
  <c r="P14" i="1"/>
  <c r="P19" i="1"/>
  <c r="P20" i="1"/>
  <c r="P23" i="1"/>
  <c r="P29" i="1"/>
  <c r="P30" i="1"/>
  <c r="P18" i="1"/>
  <c r="P33" i="1"/>
  <c r="P37" i="1"/>
  <c r="P13" i="1"/>
  <c r="P22" i="1"/>
  <c r="P28" i="1"/>
  <c r="P34" i="1"/>
  <c r="P32" i="1"/>
  <c r="P16" i="1"/>
  <c r="P5" i="1"/>
  <c r="P6" i="1"/>
  <c r="P3" i="1"/>
  <c r="D44" i="9"/>
  <c r="P55" i="1" l="1"/>
  <c r="P39" i="1"/>
  <c r="H25" i="9"/>
  <c r="H24" i="9"/>
  <c r="H23" i="9"/>
  <c r="H22" i="9"/>
  <c r="H21" i="9"/>
  <c r="H20" i="9"/>
  <c r="H19" i="9"/>
  <c r="H18" i="9"/>
  <c r="H17" i="9"/>
  <c r="H16" i="9"/>
  <c r="F18" i="6" l="1"/>
  <c r="F3" i="1" l="1"/>
  <c r="F4" i="1"/>
  <c r="E26" i="9" l="1"/>
  <c r="F26" i="9"/>
  <c r="G26" i="9"/>
  <c r="D26" i="9"/>
  <c r="H32" i="9" l="1"/>
  <c r="H33" i="9"/>
  <c r="H34" i="9"/>
  <c r="H35" i="9"/>
  <c r="H36" i="9"/>
  <c r="H37" i="9"/>
  <c r="D73" i="6" l="1"/>
  <c r="F79" i="6" l="1"/>
  <c r="E39" i="1" l="1"/>
  <c r="F56" i="1" l="1"/>
  <c r="D39" i="1" l="1"/>
  <c r="C39" i="1"/>
  <c r="B39" i="1"/>
  <c r="F29" i="1"/>
  <c r="F30" i="1"/>
  <c r="F31" i="1"/>
  <c r="F32" i="1"/>
  <c r="F33" i="1"/>
  <c r="F34" i="1"/>
  <c r="F35" i="1"/>
  <c r="F36" i="1"/>
  <c r="F37" i="1"/>
  <c r="F38" i="1"/>
  <c r="F28" i="1"/>
  <c r="F26" i="1"/>
  <c r="F32" i="6"/>
  <c r="F33" i="6"/>
  <c r="F34" i="6"/>
  <c r="F35" i="6"/>
  <c r="F36" i="6"/>
  <c r="F37" i="6"/>
  <c r="F38" i="6"/>
  <c r="F39" i="6"/>
  <c r="F40" i="6"/>
  <c r="F41" i="6"/>
  <c r="F31" i="6"/>
  <c r="F6" i="6"/>
  <c r="F7" i="6"/>
  <c r="F8" i="6"/>
  <c r="F9" i="6"/>
  <c r="F10" i="6"/>
  <c r="F11" i="6"/>
  <c r="F12" i="6"/>
  <c r="F13" i="6"/>
  <c r="F14" i="6"/>
  <c r="F15" i="6"/>
  <c r="F16" i="6"/>
  <c r="F17" i="6"/>
  <c r="F19" i="6"/>
  <c r="F20" i="6"/>
  <c r="F21" i="6"/>
  <c r="F22" i="6"/>
  <c r="F23" i="6"/>
  <c r="F24" i="6"/>
  <c r="F25" i="6"/>
  <c r="F26" i="6"/>
  <c r="F27" i="6"/>
  <c r="F28" i="6"/>
  <c r="F29" i="6"/>
  <c r="F5" i="6"/>
  <c r="E42" i="6"/>
  <c r="C42" i="6"/>
  <c r="D42" i="6"/>
  <c r="B42" i="6"/>
  <c r="F42" i="6" l="1"/>
  <c r="G18" i="6" s="1"/>
  <c r="F74" i="6"/>
  <c r="F58" i="6"/>
  <c r="G42" i="6" l="1"/>
  <c r="G39" i="6"/>
  <c r="G31" i="6"/>
  <c r="G32" i="6"/>
  <c r="G34" i="6"/>
  <c r="G36" i="6"/>
  <c r="G38" i="6"/>
  <c r="G40" i="6"/>
  <c r="G33" i="6"/>
  <c r="G35" i="6"/>
  <c r="G37" i="6"/>
  <c r="G41" i="6"/>
  <c r="G7" i="6"/>
  <c r="G9" i="6"/>
  <c r="G11" i="6"/>
  <c r="G13" i="6"/>
  <c r="G15" i="6"/>
  <c r="G17" i="6"/>
  <c r="G20" i="6"/>
  <c r="G22" i="6"/>
  <c r="G24" i="6"/>
  <c r="G26" i="6"/>
  <c r="G28" i="6"/>
  <c r="G6" i="6"/>
  <c r="G8" i="6"/>
  <c r="G10" i="6"/>
  <c r="G12" i="6"/>
  <c r="G14" i="6"/>
  <c r="G16" i="6"/>
  <c r="G19" i="6"/>
  <c r="G21" i="6"/>
  <c r="G23" i="6"/>
  <c r="G25" i="6"/>
  <c r="G27" i="6"/>
  <c r="G29" i="6"/>
  <c r="G5" i="6"/>
  <c r="E55" i="1" l="1"/>
  <c r="D55" i="1"/>
  <c r="C55" i="1"/>
  <c r="B55" i="1"/>
  <c r="F54" i="1"/>
  <c r="F53" i="1"/>
  <c r="F52" i="1"/>
  <c r="F51" i="1"/>
  <c r="F50" i="1"/>
  <c r="F55" i="1" l="1"/>
  <c r="F24" i="1"/>
  <c r="G56" i="1" l="1"/>
  <c r="G53" i="1"/>
  <c r="G51" i="1"/>
  <c r="G54" i="1"/>
  <c r="G50" i="1"/>
  <c r="G52" i="1"/>
  <c r="F25" i="1"/>
  <c r="F23" i="1"/>
  <c r="F22" i="1"/>
  <c r="F21" i="1"/>
  <c r="F20" i="1"/>
  <c r="F19" i="1"/>
  <c r="F18" i="1"/>
  <c r="F17" i="1"/>
  <c r="F16" i="1"/>
  <c r="F15" i="1"/>
  <c r="F14" i="1"/>
  <c r="F13" i="1"/>
  <c r="F12" i="1"/>
  <c r="F11" i="1"/>
  <c r="F10" i="1"/>
  <c r="F9" i="1"/>
  <c r="F8" i="1"/>
  <c r="F7" i="1"/>
  <c r="F6" i="1"/>
  <c r="F5" i="1"/>
  <c r="F39" i="1" l="1"/>
  <c r="G12" i="1" s="1"/>
  <c r="G55" i="1"/>
  <c r="H27" i="9"/>
  <c r="G21" i="1" l="1"/>
  <c r="G22" i="1"/>
  <c r="G19" i="1"/>
  <c r="G9" i="1"/>
  <c r="G6" i="1"/>
  <c r="G15" i="1"/>
  <c r="G20" i="1"/>
  <c r="G10" i="1"/>
  <c r="G4" i="1"/>
  <c r="G30" i="1"/>
  <c r="G32" i="1"/>
  <c r="G26" i="1"/>
  <c r="G33" i="1"/>
  <c r="G36" i="1"/>
  <c r="G35" i="1"/>
  <c r="G37" i="1"/>
  <c r="G31" i="1"/>
  <c r="G29" i="1"/>
  <c r="G38" i="1"/>
  <c r="G28" i="1"/>
  <c r="G34" i="1"/>
  <c r="G24" i="1"/>
  <c r="G11" i="1"/>
  <c r="G17" i="1"/>
  <c r="G16" i="1"/>
  <c r="G18" i="1"/>
  <c r="G5" i="1"/>
  <c r="G23" i="1"/>
  <c r="G7" i="1"/>
  <c r="G13" i="1"/>
  <c r="G8" i="1"/>
  <c r="G14" i="1"/>
  <c r="G25" i="1"/>
  <c r="G3" i="1"/>
  <c r="C9" i="2"/>
  <c r="D9" i="2"/>
  <c r="E9" i="2"/>
  <c r="C10" i="2"/>
  <c r="D10" i="2"/>
  <c r="E10" i="2"/>
  <c r="C11" i="2"/>
  <c r="D11" i="2"/>
  <c r="E11" i="2"/>
  <c r="C12" i="2"/>
  <c r="D12" i="2"/>
  <c r="E12" i="2"/>
  <c r="C13" i="2"/>
  <c r="D13" i="2"/>
  <c r="E13" i="2"/>
  <c r="C14" i="2"/>
  <c r="D14" i="2"/>
  <c r="E14" i="2"/>
  <c r="H100" i="9"/>
  <c r="H75" i="9"/>
  <c r="H76" i="9"/>
  <c r="H77" i="9"/>
  <c r="H78" i="9"/>
  <c r="H79" i="9"/>
  <c r="H80" i="9"/>
  <c r="H74" i="9"/>
  <c r="G39" i="1" l="1"/>
  <c r="H116" i="9"/>
  <c r="H124" i="9"/>
  <c r="H140" i="9"/>
  <c r="H132" i="9"/>
  <c r="G141" i="9"/>
  <c r="D141" i="9"/>
  <c r="E141" i="9"/>
  <c r="F141" i="9"/>
  <c r="H108" i="9"/>
  <c r="D81" i="9"/>
  <c r="E81" i="9"/>
  <c r="F81" i="9"/>
  <c r="D38" i="9"/>
  <c r="E38" i="9"/>
  <c r="F38" i="9"/>
  <c r="H10" i="9"/>
  <c r="F88" i="9"/>
  <c r="G88" i="9"/>
  <c r="E88" i="9"/>
  <c r="H42" i="9" l="1"/>
  <c r="H41" i="9"/>
  <c r="H31" i="9"/>
  <c r="D85" i="6"/>
  <c r="E85" i="6"/>
  <c r="C85" i="6"/>
  <c r="B10" i="2"/>
  <c r="B11" i="2"/>
  <c r="B12" i="2"/>
  <c r="B13" i="2"/>
  <c r="B14" i="2"/>
  <c r="B9" i="2"/>
  <c r="C3" i="2"/>
  <c r="D3" i="2"/>
  <c r="E3" i="2"/>
  <c r="C4" i="2"/>
  <c r="D4" i="2"/>
  <c r="E4" i="2"/>
  <c r="C5" i="2"/>
  <c r="D5" i="2"/>
  <c r="E5" i="2"/>
  <c r="B4" i="2"/>
  <c r="B5" i="2"/>
  <c r="B3" i="2"/>
  <c r="H43" i="9" l="1"/>
  <c r="H44" i="9" s="1"/>
  <c r="H30" i="9"/>
  <c r="H139" i="9"/>
  <c r="H138" i="9"/>
  <c r="H137" i="9"/>
  <c r="H136" i="9"/>
  <c r="H135" i="9"/>
  <c r="H134" i="9"/>
  <c r="H131" i="9"/>
  <c r="H130" i="9"/>
  <c r="H129" i="9"/>
  <c r="H128" i="9"/>
  <c r="H127" i="9"/>
  <c r="H126" i="9"/>
  <c r="H123" i="9"/>
  <c r="H122" i="9"/>
  <c r="H121" i="9"/>
  <c r="H120" i="9"/>
  <c r="H119" i="9"/>
  <c r="H118" i="9"/>
  <c r="H115" i="9"/>
  <c r="H114" i="9"/>
  <c r="H113" i="9"/>
  <c r="H112" i="9"/>
  <c r="H111" i="9"/>
  <c r="H110" i="9"/>
  <c r="H107" i="9"/>
  <c r="H106" i="9"/>
  <c r="H105" i="9"/>
  <c r="H104" i="9"/>
  <c r="H103" i="9"/>
  <c r="H102" i="9"/>
  <c r="H99" i="9"/>
  <c r="H98" i="9"/>
  <c r="H97" i="9"/>
  <c r="H96" i="9"/>
  <c r="H95" i="9"/>
  <c r="H94" i="9"/>
  <c r="D88" i="9"/>
  <c r="H87" i="9"/>
  <c r="H86" i="9"/>
  <c r="H85" i="9"/>
  <c r="H84" i="9"/>
  <c r="G71" i="9"/>
  <c r="F71" i="9"/>
  <c r="E71" i="9"/>
  <c r="E12" i="9" s="1"/>
  <c r="D71" i="9"/>
  <c r="H70" i="9"/>
  <c r="H69" i="9"/>
  <c r="H68" i="9"/>
  <c r="G65" i="9"/>
  <c r="F65" i="9"/>
  <c r="E65" i="9"/>
  <c r="D65" i="9"/>
  <c r="H64" i="9"/>
  <c r="H63" i="9"/>
  <c r="H62" i="9"/>
  <c r="H61" i="9"/>
  <c r="H60" i="9"/>
  <c r="H59" i="9"/>
  <c r="G51" i="9"/>
  <c r="F51" i="9"/>
  <c r="E51" i="9"/>
  <c r="D51" i="9"/>
  <c r="H50" i="9"/>
  <c r="H49" i="9"/>
  <c r="H26" i="9"/>
  <c r="B85" i="6"/>
  <c r="F84" i="6"/>
  <c r="F83" i="6"/>
  <c r="F82" i="6"/>
  <c r="F81" i="6"/>
  <c r="F80" i="6"/>
  <c r="F78" i="6"/>
  <c r="E73" i="6"/>
  <c r="C73" i="6"/>
  <c r="B73" i="6"/>
  <c r="F72" i="6"/>
  <c r="F71" i="6"/>
  <c r="F70" i="6"/>
  <c r="F69" i="6"/>
  <c r="F68" i="6"/>
  <c r="E65" i="6"/>
  <c r="D65" i="6"/>
  <c r="C65" i="6"/>
  <c r="B65" i="6"/>
  <c r="F64" i="6"/>
  <c r="F63" i="6"/>
  <c r="F62" i="6"/>
  <c r="E57" i="6"/>
  <c r="D57" i="6"/>
  <c r="C57" i="6"/>
  <c r="B57" i="6"/>
  <c r="F56" i="6"/>
  <c r="F55" i="6"/>
  <c r="F54" i="6"/>
  <c r="F53" i="6"/>
  <c r="F52" i="6"/>
  <c r="E49" i="6"/>
  <c r="D49" i="6"/>
  <c r="C49" i="6"/>
  <c r="B49" i="6"/>
  <c r="F48" i="6"/>
  <c r="F47" i="6"/>
  <c r="F46" i="6"/>
  <c r="I41" i="9" l="1"/>
  <c r="I43" i="9"/>
  <c r="I42" i="9"/>
  <c r="I44" i="9"/>
  <c r="F12" i="9"/>
  <c r="G12" i="9"/>
  <c r="D12" i="9"/>
  <c r="H141" i="9"/>
  <c r="H133" i="9"/>
  <c r="H125" i="9"/>
  <c r="H117" i="9"/>
  <c r="H109" i="9"/>
  <c r="I25" i="9"/>
  <c r="H101" i="9"/>
  <c r="H88" i="9"/>
  <c r="I86" i="9" s="1"/>
  <c r="H65" i="9"/>
  <c r="I63" i="9" s="1"/>
  <c r="F85" i="6"/>
  <c r="H71" i="9"/>
  <c r="I70" i="9" s="1"/>
  <c r="H51" i="9"/>
  <c r="I49" i="9" s="1"/>
  <c r="F49" i="6"/>
  <c r="G47" i="6" s="1"/>
  <c r="F65" i="6"/>
  <c r="G65" i="6" s="1"/>
  <c r="F73" i="6"/>
  <c r="G68" i="6" s="1"/>
  <c r="F57" i="6"/>
  <c r="G55" i="6" s="1"/>
  <c r="G84" i="6" l="1"/>
  <c r="G79" i="6"/>
  <c r="H11" i="9"/>
  <c r="H12" i="9" s="1"/>
  <c r="G72" i="6"/>
  <c r="G73" i="6"/>
  <c r="G74" i="6"/>
  <c r="G70" i="6"/>
  <c r="G71" i="6"/>
  <c r="G69" i="6"/>
  <c r="I129" i="9"/>
  <c r="I132" i="9"/>
  <c r="I121" i="9"/>
  <c r="I124" i="9"/>
  <c r="I113" i="9"/>
  <c r="I116" i="9"/>
  <c r="I105" i="9"/>
  <c r="I108" i="9"/>
  <c r="I98" i="9"/>
  <c r="I100" i="9"/>
  <c r="I24" i="9"/>
  <c r="I22" i="9"/>
  <c r="I135" i="9"/>
  <c r="I140" i="9"/>
  <c r="I110" i="9"/>
  <c r="I26" i="9"/>
  <c r="I21" i="9"/>
  <c r="I136" i="9"/>
  <c r="I138" i="9"/>
  <c r="I139" i="9"/>
  <c r="I137" i="9"/>
  <c r="I141" i="9"/>
  <c r="I134" i="9"/>
  <c r="I133" i="9"/>
  <c r="I130" i="9"/>
  <c r="I128" i="9"/>
  <c r="I126" i="9"/>
  <c r="I131" i="9"/>
  <c r="I127" i="9"/>
  <c r="I125" i="9"/>
  <c r="I118" i="9"/>
  <c r="I123" i="9"/>
  <c r="I122" i="9"/>
  <c r="I120" i="9"/>
  <c r="I119" i="9"/>
  <c r="I111" i="9"/>
  <c r="I114" i="9"/>
  <c r="I112" i="9"/>
  <c r="I117" i="9"/>
  <c r="I115" i="9"/>
  <c r="I106" i="9"/>
  <c r="I102" i="9"/>
  <c r="I107" i="9"/>
  <c r="I103" i="9"/>
  <c r="I109" i="9"/>
  <c r="I104" i="9"/>
  <c r="I94" i="9"/>
  <c r="I99" i="9"/>
  <c r="I95" i="9"/>
  <c r="I96" i="9"/>
  <c r="I97" i="9"/>
  <c r="I101" i="9"/>
  <c r="I88" i="9"/>
  <c r="I87" i="9"/>
  <c r="I84" i="9"/>
  <c r="I85" i="9"/>
  <c r="I62" i="9"/>
  <c r="I65" i="9"/>
  <c r="I61" i="9"/>
  <c r="I59" i="9"/>
  <c r="I60" i="9"/>
  <c r="I64" i="9"/>
  <c r="I18" i="9"/>
  <c r="I19" i="9"/>
  <c r="I20" i="9"/>
  <c r="I23" i="9"/>
  <c r="I17" i="9"/>
  <c r="I16" i="9"/>
  <c r="G83" i="6"/>
  <c r="G81" i="6"/>
  <c r="G78" i="6"/>
  <c r="G82" i="6"/>
  <c r="G80" i="6"/>
  <c r="G53" i="6"/>
  <c r="G54" i="6"/>
  <c r="G52" i="6"/>
  <c r="G62" i="6"/>
  <c r="G63" i="6"/>
  <c r="G56" i="6"/>
  <c r="G46" i="6"/>
  <c r="G64" i="6"/>
  <c r="I51" i="9"/>
  <c r="I50" i="9"/>
  <c r="I71" i="9"/>
  <c r="I69" i="9"/>
  <c r="I68" i="9"/>
  <c r="G48" i="6"/>
  <c r="G85" i="6" l="1"/>
  <c r="G57" i="6"/>
  <c r="G49" i="6"/>
  <c r="F27" i="2" l="1"/>
  <c r="F43" i="2"/>
  <c r="E31" i="2"/>
  <c r="D31" i="2"/>
  <c r="C31" i="2"/>
  <c r="B31" i="2"/>
  <c r="F30" i="2"/>
  <c r="F29" i="2"/>
  <c r="F28" i="2"/>
  <c r="F26" i="2"/>
  <c r="F25" i="2"/>
  <c r="E22" i="2"/>
  <c r="D22" i="2"/>
  <c r="C22" i="2"/>
  <c r="B22" i="2"/>
  <c r="F21" i="2"/>
  <c r="F20" i="2"/>
  <c r="F19" i="2"/>
  <c r="E47" i="2"/>
  <c r="D47" i="2"/>
  <c r="C47" i="2"/>
  <c r="B47" i="2"/>
  <c r="F46" i="2"/>
  <c r="F45" i="2"/>
  <c r="F44" i="2"/>
  <c r="F42" i="2"/>
  <c r="F41" i="2"/>
  <c r="E38" i="2"/>
  <c r="D38" i="2"/>
  <c r="C38" i="2"/>
  <c r="B38" i="2"/>
  <c r="F37" i="2"/>
  <c r="F36" i="2"/>
  <c r="F35" i="2"/>
  <c r="F45" i="1"/>
  <c r="F46" i="1"/>
  <c r="F44" i="1"/>
  <c r="C47" i="1"/>
  <c r="D47" i="1"/>
  <c r="E47" i="1"/>
  <c r="B47" i="1"/>
  <c r="G38" i="9" l="1"/>
  <c r="H38" i="9"/>
  <c r="D6" i="2"/>
  <c r="F47" i="1"/>
  <c r="F12" i="2"/>
  <c r="F5" i="2"/>
  <c r="E6" i="2"/>
  <c r="E15" i="2"/>
  <c r="B6" i="2"/>
  <c r="C6" i="2"/>
  <c r="D15" i="2"/>
  <c r="C15" i="2"/>
  <c r="F14" i="2"/>
  <c r="F10" i="2"/>
  <c r="F11" i="2"/>
  <c r="F4" i="2"/>
  <c r="F9" i="2"/>
  <c r="F13" i="2"/>
  <c r="F3" i="2"/>
  <c r="B15" i="2"/>
  <c r="F22" i="2"/>
  <c r="G21" i="2" s="1"/>
  <c r="F31" i="2"/>
  <c r="G26" i="2" s="1"/>
  <c r="F47" i="2"/>
  <c r="F38" i="2"/>
  <c r="G35" i="2" s="1"/>
  <c r="P47" i="1" l="1"/>
  <c r="I32" i="9"/>
  <c r="I33" i="9"/>
  <c r="I34" i="9"/>
  <c r="I35" i="9"/>
  <c r="I36" i="9"/>
  <c r="I37" i="9"/>
  <c r="I31" i="9"/>
  <c r="G44" i="1"/>
  <c r="H81" i="9"/>
  <c r="I30" i="9"/>
  <c r="G46" i="1"/>
  <c r="G45" i="1"/>
  <c r="G20" i="2"/>
  <c r="G27" i="2"/>
  <c r="G19" i="2"/>
  <c r="G29" i="2"/>
  <c r="G25" i="2"/>
  <c r="G30" i="2"/>
  <c r="G28" i="2"/>
  <c r="G44" i="2"/>
  <c r="G43" i="2"/>
  <c r="G41" i="2"/>
  <c r="G42" i="2"/>
  <c r="G45" i="2"/>
  <c r="G46" i="2"/>
  <c r="G37" i="2"/>
  <c r="G36" i="2"/>
  <c r="F15" i="2"/>
  <c r="G14" i="2" s="1"/>
  <c r="F6" i="2"/>
  <c r="I38" i="9" l="1"/>
  <c r="G47" i="1"/>
  <c r="I77" i="9"/>
  <c r="I79" i="9"/>
  <c r="I78" i="9"/>
  <c r="I80" i="9"/>
  <c r="G81" i="9"/>
  <c r="I75" i="9"/>
  <c r="I81" i="9"/>
  <c r="I74" i="9"/>
  <c r="I76" i="9"/>
  <c r="G22" i="2"/>
  <c r="G31" i="2"/>
  <c r="G47" i="2"/>
  <c r="G38" i="2"/>
  <c r="G9" i="2"/>
  <c r="G10" i="2"/>
  <c r="G13" i="2"/>
  <c r="G6" i="2"/>
  <c r="G5" i="2"/>
  <c r="G15" i="2"/>
  <c r="G12" i="2"/>
  <c r="G4" i="2"/>
  <c r="G3" i="2"/>
  <c r="G11" i="2"/>
</calcChain>
</file>

<file path=xl/sharedStrings.xml><?xml version="1.0" encoding="utf-8"?>
<sst xmlns="http://schemas.openxmlformats.org/spreadsheetml/2006/main" count="548" uniqueCount="126">
  <si>
    <t>In 2010, the Madison Police Department moved from reporting crime data using the traditional Summary Based Uniform Crime Reporting (UCR) to Incident Based Reporting (IBR). IBR and UCR are reporting systems used by law enforcement agencies in the United States for collecting and reporting crime data to the Federal Bureau of Investigation.  The general concepts, such as jurisdictional rules, of collecting and reporting UCR data are the same as in IBR. However, IBR goes into much greater detail than the summary-based UCR system and IBR reports all offenses involved in a particular incident.  
The Federal Bureau of Investigation is encouraging all law enforcement agencies to move to the IBR method.  However, not all law enforcement agencies are certified to submit IBR, therefore they continue to report UCR.  For example, there are 529 law enforcement agencies in Wisconsin and approximately 107 are certified in IBR reporting.  This makes it very difficult to compare crime nationally.
In the first quarter 2024, Madison Police Department responded to 34,188 calls for service resulting in 6,531 IBR offenses.
In the second quarter 2024, Madison Police Department responded to 38,202 calls for service resulting in 6,572 IBR offenses.
In the third quarter 2024, Madison Police Department responded to 40,532 calls for service resulting in   6,892 IBR offenses.
In the fourth quarter 2024, Madison Police Department responded to 35,473 calls for service resulting in 6,479 IBR offenses.</t>
  </si>
  <si>
    <t>Incident Based Reporting (IBR) Offenses</t>
  </si>
  <si>
    <t>Group A Offenses</t>
  </si>
  <si>
    <t>Q1</t>
  </si>
  <si>
    <t>Q2</t>
  </si>
  <si>
    <t>Q3</t>
  </si>
  <si>
    <t>Q4</t>
  </si>
  <si>
    <t>Total</t>
  </si>
  <si>
    <t>%</t>
  </si>
  <si>
    <t>Animal Cruelty</t>
  </si>
  <si>
    <t>Arson</t>
  </si>
  <si>
    <t>Assault Offenses</t>
  </si>
  <si>
    <t>Bribery</t>
  </si>
  <si>
    <t>Burglary</t>
  </si>
  <si>
    <t>Counterfeiting/Forgery</t>
  </si>
  <si>
    <t>Damage to Property</t>
  </si>
  <si>
    <t>Drug/Narcotic Offenses</t>
  </si>
  <si>
    <t>Embezzlement</t>
  </si>
  <si>
    <t>Extortion</t>
  </si>
  <si>
    <t>Fraud Offenses</t>
  </si>
  <si>
    <t>Gambling Offenses</t>
  </si>
  <si>
    <t>Homicide Offenses</t>
  </si>
  <si>
    <t>Negligent Manslaughter</t>
  </si>
  <si>
    <t>Human Trafficking Offenses</t>
  </si>
  <si>
    <t>Kidnapping/Abduction</t>
  </si>
  <si>
    <t>Larceny/Theft Offenses</t>
  </si>
  <si>
    <t>Motor Vehicle Theft</t>
  </si>
  <si>
    <t>Pornography/Obscene Material</t>
  </si>
  <si>
    <t>Prostitution Offenses</t>
  </si>
  <si>
    <t>Robbery</t>
  </si>
  <si>
    <t>Sex Offenses, Forcible</t>
  </si>
  <si>
    <t>Sex Offenses, Non-Forcible</t>
  </si>
  <si>
    <t>Stolen Property Offenses</t>
  </si>
  <si>
    <t>Weapon Law Violations*</t>
  </si>
  <si>
    <t>Group B Offenses</t>
  </si>
  <si>
    <t>Bad Checks</t>
  </si>
  <si>
    <t>Curfew/Loitering/Vagrancy Violations</t>
  </si>
  <si>
    <t>Disorderly Conduct</t>
  </si>
  <si>
    <t>Driving Under the Influence</t>
  </si>
  <si>
    <t>Drunkenness</t>
  </si>
  <si>
    <t>Family Offenses, Nonviolent</t>
  </si>
  <si>
    <t>Liquor Law Violations</t>
  </si>
  <si>
    <t>Peeping Tom</t>
  </si>
  <si>
    <t>Runaway</t>
  </si>
  <si>
    <t>Trespass of Real Property</t>
  </si>
  <si>
    <t>All Other Offenses</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</si>
  <si>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</si>
  <si>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Suspect- Sex</t>
  </si>
  <si>
    <t>Male</t>
  </si>
  <si>
    <t>Female</t>
  </si>
  <si>
    <t>Unknown</t>
  </si>
  <si>
    <t>Suspect- Race</t>
  </si>
  <si>
    <t>Asian</t>
  </si>
  <si>
    <t>African-American</t>
  </si>
  <si>
    <t>Native American</t>
  </si>
  <si>
    <t>Other</t>
  </si>
  <si>
    <t>Caucasian</t>
  </si>
  <si>
    <t>Hispanic**</t>
  </si>
  <si>
    <t>**“Hispanic” is not a racial designator used for UCR/IBR crime reporting purposes. However, it is an ethnicity collected and tracked in MPD’s records management system, in addition to race. These IBR figures are based on that data.  Each person with a Hispanic ethnicity will also have a race indicated (from the above options) and reflected in MPD’s crime reporting.</t>
  </si>
  <si>
    <t>Victim- Sex</t>
  </si>
  <si>
    <t>Victim- Race</t>
  </si>
  <si>
    <t>District</t>
  </si>
  <si>
    <t>West</t>
  </si>
  <si>
    <t>Midtown</t>
  </si>
  <si>
    <t>South</t>
  </si>
  <si>
    <t>Central</t>
  </si>
  <si>
    <t>North</t>
  </si>
  <si>
    <t>East</t>
  </si>
  <si>
    <t>Due to the dynamic nature of data, this information is a snapshot in time as of the creation of this report. The processing of additional records and corrections will be reflected in updates to existing and future sections of this report.   Data generated on: 1/22/2025</t>
  </si>
  <si>
    <t>IBR Arrest Charges - On-View Arrest</t>
  </si>
  <si>
    <t>IBR Arrest Charges - Summoned/Cited</t>
  </si>
  <si>
    <t>Weapon Law Violations**</t>
  </si>
  <si>
    <t>* More than one charge may be connected to an arrest.</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</si>
  <si>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</si>
  <si>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Sex</t>
  </si>
  <si>
    <t>Race</t>
  </si>
  <si>
    <t>Hispanic</t>
  </si>
  <si>
    <t>**“Hispanic” is not a racial designator used for UCR/IBR crime reporting purposes. However, it is an ethnicity collected and tracked in MPD’s records management system, in addition to race. These arrest figures are based on that data.  Each arrested person with a Hispanic ethnicity will also have a race indicated (from the above options) and reflected in MPD’s crime reporting.</t>
  </si>
  <si>
    <t>All Traffic Stops</t>
  </si>
  <si>
    <t>Citations Issued</t>
  </si>
  <si>
    <t>Warnings Issued</t>
  </si>
  <si>
    <t>Types of Force Used By Officers</t>
  </si>
  <si>
    <t xml:space="preserve">From October 1st through December 31st of 2024, Madison Police Officers responded to 35,473  calls for service.  In that time, there were 58 citizen contacts in which officers used recordable force* during their encounter.  This means that in the 4th quarter, MPD officers used recordable force 0.16% of the time when engaging with our citizens.  Each of these force incidents documented by officers was reviewed for compliance with MPD standard operating procedures.
</t>
  </si>
  <si>
    <t>Description</t>
  </si>
  <si>
    <t xml:space="preserve"> </t>
  </si>
  <si>
    <t>Calls for Service</t>
  </si>
  <si>
    <t>Citizen Contacts Where Force Was Used</t>
  </si>
  <si>
    <t>% of CFS Where Force Was Used</t>
  </si>
  <si>
    <t>*Please refer to MPDs SOP on use of force data collection for the definition of recordable force and distinction between reportable and recordable use of force:                                        http://www.cityofmadison.com/police/documents/sop/UseOfForceData.pdf</t>
  </si>
  <si>
    <t>Force</t>
  </si>
  <si>
    <t>Decentralization/Takedown (e.g. officer pushing or pulling a subject to the ground)</t>
  </si>
  <si>
    <t>Active Counter Measures (e.g. officer striking a subject with hand, forearm, foot or knee)</t>
  </si>
  <si>
    <t>Taser Deployment</t>
  </si>
  <si>
    <t>Hobble Restraints (a belt system which restricts a subject's ability to kick at officers, squad windows, etc)</t>
  </si>
  <si>
    <t>OC (i.e. Pepper) Spray Deployment</t>
  </si>
  <si>
    <t>Baton Strike</t>
  </si>
  <si>
    <t>K9 Bite</t>
  </si>
  <si>
    <t>Firearm Discharged Toward Suspect</t>
  </si>
  <si>
    <t>Impact Munition (firearm delivered projectile launched at a lower than normal velocity)</t>
  </si>
  <si>
    <t>Specialty (SWAT/SET)</t>
  </si>
  <si>
    <t>Firearm Discharged to Put Down a Sick or Suffering Animal</t>
  </si>
  <si>
    <t>District*</t>
  </si>
  <si>
    <t>Out of County</t>
  </si>
  <si>
    <t>Within County - Assist Agency</t>
  </si>
  <si>
    <t>Time of Day/Patrol Shift</t>
  </si>
  <si>
    <t>1st Detail (7am-3pm)</t>
  </si>
  <si>
    <t>3rd Detail (3pm-11pm)</t>
  </si>
  <si>
    <t>5th Detail (11pm-7am)</t>
  </si>
  <si>
    <t xml:space="preserve">For 2024, MPD is comprised of 71% male officers as compared to 29% female officers.  MPD employed about 2.5 times the number of women than the national average of 12%.  The MPD officers who used force, broken down quarterly, were:
</t>
  </si>
  <si>
    <t>Officer*- Sex</t>
  </si>
  <si>
    <t xml:space="preserve">MPD is comprised of men and women who represent many different racial groups and is generally reflective of the general Madison population.  For 2024, MPD employed 77% Caucasian officers and 23% minority officers. MPD officers who used force, broken down by quarter, were:
</t>
  </si>
  <si>
    <t>Officer*- Race</t>
  </si>
  <si>
    <t>Citizen- Sex</t>
  </si>
  <si>
    <t>Citizen- Race</t>
  </si>
  <si>
    <t>Other Influencing Factors</t>
  </si>
  <si>
    <t>Alcohol</t>
  </si>
  <si>
    <t>Drugs</t>
  </si>
  <si>
    <t>Alcohol/Drugs Combined</t>
  </si>
  <si>
    <t>Broken down quarterly, the following officers used force against the following citizens, broken out by race. These numbers can reflect calls for service in which more than one officer used force against one citizen during a single incident, or a single officer used more than one type of force against a citizen during the same incident.</t>
  </si>
  <si>
    <t>Officer to Citizen Demographics</t>
  </si>
  <si>
    <t>Officer Race</t>
  </si>
  <si>
    <t>Citizen Race</t>
  </si>
  <si>
    <t>For further information regarding the Madison Police Department’s Standard Operating Procedures on the use of force, follow the links below:</t>
  </si>
  <si>
    <t>Use of Force</t>
  </si>
  <si>
    <t>Use of Force Documentation</t>
  </si>
  <si>
    <t>Due to the dynamic nature of data, this information is a snapshot in time as of the creation of this report. The processing of additional records and corrections will be reflected in updates to existing and future sections of this report.   Data generated on: 01/08/2025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</si>
</sst>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1"/>
      <color theme="0"/>
      <name val="Calibri"/>
      <family val="2"/>
      <scheme val="minor"/>
    </font>
    <font>
      <b/>
      <sz val="11"/>
      <name val="Calibri"/>
      <family val="2"/>
      <scheme val="minor"/>
    </font>
    <font>
      <u/>
      <sz val="11"/>
      <color theme="10"/>
      <name val="Calibri"/>
      <family val="2"/>
    </font>
    <font>
      <sz val="10"/>
      <color indexed="8"/>
      <name val="Arial"/>
      <family val="2"/>
    </font>
    <font>
      <sz val="11"/>
      <name val="Calibri"/>
      <family val="2"/>
      <scheme val="minor"/>
    </font>
    <font>
      <b/>
      <sz val="12"/>
      <color rgb="FFFF0000"/>
      <name val="Calibri"/>
      <family val="2"/>
      <scheme val="minor"/>
    </font>
    <font>
      <sz val="11"/>
      <color theme="0"/>
      <name val="Calibri"/>
      <family val="2"/>
      <scheme val="minor"/>
    </font>
    <font>
      <sz val="10"/>
      <name val="Calibri"/>
      <family val="2"/>
      <scheme val="minor"/>
    </font>
    <font>
      <b/>
      <sz val="11"/>
      <color theme="1"/>
      <name val="Calibri"/>
      <scheme val="minor"/>
    </font>
  </fonts>
  <fills count="12">
    <fill>
      <patternFill patternType="none"/>
    </fill>
    <fill>
      <patternFill patternType="gray125"/>
    </fill>
    <fill>
      <patternFill patternType="solid">
        <fgColor theme="1" tint="4.9989318521683403E-2"/>
        <bgColor indexed="64"/>
      </patternFill>
    </fill>
    <fill>
      <patternFill patternType="solid">
        <fgColor theme="7" tint="0.39997558519241921"/>
        <bgColor indexed="64"/>
      </patternFill>
    </fill>
    <fill>
      <patternFill patternType="solid">
        <fgColor theme="2" tint="-0.499984740745262"/>
        <bgColor indexed="64"/>
      </patternFill>
    </fill>
    <fill>
      <patternFill patternType="solid">
        <fgColor theme="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5"/>
        <bgColor indexed="64"/>
      </patternFill>
    </fill>
    <fill>
      <patternFill patternType="solid">
        <fgColor theme="0"/>
        <bgColor indexed="64"/>
      </patternFill>
    </fill>
  </fills>
  <borders count="28">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theme="0" tint="-0.14996795556505021"/>
      </left>
      <right/>
      <top/>
      <bottom/>
      <diagonal/>
    </border>
    <border>
      <left/>
      <right style="thin">
        <color theme="0" tint="-0.14996795556505021"/>
      </right>
      <top/>
      <bottom/>
      <diagonal/>
    </border>
    <border>
      <left/>
      <right/>
      <top style="medium">
        <color indexed="64"/>
      </top>
      <bottom/>
      <diagonal/>
    </border>
    <border>
      <left style="thin">
        <color theme="0" tint="-0.14996795556505021"/>
      </left>
      <right/>
      <top style="thin">
        <color indexed="64"/>
      </top>
      <bottom/>
      <diagonal/>
    </border>
    <border>
      <left/>
      <right style="thin">
        <color theme="0" tint="-0.14996795556505021"/>
      </right>
      <top style="thin">
        <color indexed="64"/>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alignment vertical="top"/>
      <protection locked="0"/>
    </xf>
    <xf numFmtId="0" fontId="7" fillId="0" borderId="0">
      <alignment vertical="top"/>
    </xf>
  </cellStyleXfs>
  <cellXfs count="133">
    <xf numFmtId="0" fontId="0" fillId="0" borderId="0" xfId="0"/>
    <xf numFmtId="0" fontId="0" fillId="0" borderId="0" xfId="0" applyAlignment="1">
      <alignment horizontal="center"/>
    </xf>
    <xf numFmtId="164" fontId="0" fillId="0" borderId="0" xfId="1" applyNumberFormat="1" applyFont="1" applyAlignment="1">
      <alignment horizontal="center"/>
    </xf>
    <xf numFmtId="0" fontId="0" fillId="0" borderId="2" xfId="0" applyBorder="1" applyAlignment="1">
      <alignment horizontal="center"/>
    </xf>
    <xf numFmtId="0" fontId="0" fillId="0" borderId="3" xfId="0" applyBorder="1" applyAlignment="1">
      <alignment horizontal="center"/>
    </xf>
    <xf numFmtId="0" fontId="2" fillId="0" borderId="0" xfId="0" applyFont="1" applyAlignment="1">
      <alignment wrapText="1"/>
    </xf>
    <xf numFmtId="0" fontId="0" fillId="0" borderId="0" xfId="0" applyAlignment="1">
      <alignment wrapText="1"/>
    </xf>
    <xf numFmtId="0" fontId="3" fillId="0" borderId="0" xfId="0" applyFont="1" applyAlignment="1">
      <alignment wrapText="1"/>
    </xf>
    <xf numFmtId="0" fontId="0" fillId="0" borderId="0" xfId="0" applyAlignment="1">
      <alignment horizontal="center" vertical="center"/>
    </xf>
    <xf numFmtId="0" fontId="0" fillId="0" borderId="0" xfId="0" applyAlignment="1">
      <alignment vertical="center"/>
    </xf>
    <xf numFmtId="164" fontId="0" fillId="0" borderId="0" xfId="1" applyNumberFormat="1" applyFont="1" applyAlignment="1">
      <alignment horizontal="center" vertical="center"/>
    </xf>
    <xf numFmtId="0" fontId="0" fillId="0" borderId="0" xfId="0" applyAlignment="1">
      <alignment vertical="center" wrapText="1"/>
    </xf>
    <xf numFmtId="0" fontId="2" fillId="0" borderId="4" xfId="0" applyFont="1" applyBorder="1"/>
    <xf numFmtId="164" fontId="2" fillId="0" borderId="6" xfId="1" applyNumberFormat="1" applyFont="1" applyBorder="1" applyAlignment="1">
      <alignment horizontal="center"/>
    </xf>
    <xf numFmtId="0" fontId="2" fillId="0" borderId="14" xfId="0" applyFont="1" applyBorder="1"/>
    <xf numFmtId="0" fontId="2" fillId="0" borderId="15" xfId="0" applyFont="1" applyBorder="1" applyAlignment="1">
      <alignment horizontal="center"/>
    </xf>
    <xf numFmtId="164" fontId="2" fillId="0" borderId="16" xfId="1" applyNumberFormat="1" applyFont="1" applyBorder="1" applyAlignment="1">
      <alignment horizontal="center"/>
    </xf>
    <xf numFmtId="164" fontId="2" fillId="0" borderId="16" xfId="0" applyNumberFormat="1" applyFont="1" applyBorder="1" applyAlignment="1">
      <alignment horizontal="center"/>
    </xf>
    <xf numFmtId="0" fontId="2" fillId="4" borderId="0" xfId="0" applyFont="1" applyFill="1" applyAlignment="1">
      <alignment horizontal="center"/>
    </xf>
    <xf numFmtId="0" fontId="2" fillId="3" borderId="0" xfId="0" applyFont="1" applyFill="1" applyAlignment="1">
      <alignment horizontal="center"/>
    </xf>
    <xf numFmtId="0" fontId="2" fillId="3" borderId="0" xfId="0" applyFont="1" applyFill="1"/>
    <xf numFmtId="0" fontId="2" fillId="0" borderId="15" xfId="0" applyFont="1" applyBorder="1"/>
    <xf numFmtId="0" fontId="2" fillId="0" borderId="15" xfId="0" applyFont="1" applyBorder="1" applyAlignment="1">
      <alignment horizontal="center" vertical="center"/>
    </xf>
    <xf numFmtId="164" fontId="2" fillId="0" borderId="16" xfId="1" applyNumberFormat="1" applyFont="1" applyBorder="1" applyAlignment="1">
      <alignment horizontal="center" vertical="center"/>
    </xf>
    <xf numFmtId="0" fontId="2" fillId="4" borderId="0" xfId="0" applyFont="1" applyFill="1"/>
    <xf numFmtId="164" fontId="0" fillId="0" borderId="0" xfId="1" applyNumberFormat="1" applyFont="1" applyAlignment="1">
      <alignment horizontal="center" vertical="center" wrapText="1"/>
    </xf>
    <xf numFmtId="0" fontId="2" fillId="0" borderId="0" xfId="0" applyFont="1" applyAlignment="1">
      <alignment horizontal="center"/>
    </xf>
    <xf numFmtId="0" fontId="4" fillId="0" borderId="0" xfId="0" applyFont="1"/>
    <xf numFmtId="0" fontId="3" fillId="0" borderId="0" xfId="0" applyFont="1" applyAlignment="1">
      <alignment horizontal="center" wrapText="1"/>
    </xf>
    <xf numFmtId="164" fontId="1" fillId="0" borderId="0" xfId="1" applyNumberFormat="1" applyFont="1" applyAlignment="1">
      <alignment horizontal="center"/>
    </xf>
    <xf numFmtId="0" fontId="0" fillId="8" borderId="0" xfId="0" applyFill="1"/>
    <xf numFmtId="0" fontId="0" fillId="8" borderId="0" xfId="0" applyFill="1" applyAlignment="1">
      <alignment horizontal="center"/>
    </xf>
    <xf numFmtId="164" fontId="0" fillId="8" borderId="0" xfId="1" applyNumberFormat="1" applyFont="1" applyFill="1" applyAlignment="1">
      <alignment horizontal="center"/>
    </xf>
    <xf numFmtId="0" fontId="0" fillId="9" borderId="0" xfId="0" applyFill="1"/>
    <xf numFmtId="0" fontId="0" fillId="9" borderId="0" xfId="0" applyFill="1" applyAlignment="1">
      <alignment horizontal="center"/>
    </xf>
    <xf numFmtId="164" fontId="0" fillId="9" borderId="0" xfId="1" applyNumberFormat="1" applyFont="1" applyFill="1" applyAlignment="1">
      <alignment horizontal="center"/>
    </xf>
    <xf numFmtId="0" fontId="0" fillId="9" borderId="2" xfId="0" applyFill="1" applyBorder="1"/>
    <xf numFmtId="0" fontId="2" fillId="8" borderId="4" xfId="0" applyFont="1" applyFill="1" applyBorder="1"/>
    <xf numFmtId="0" fontId="2" fillId="8" borderId="5" xfId="0" applyFont="1" applyFill="1" applyBorder="1" applyAlignment="1">
      <alignment horizontal="center"/>
    </xf>
    <xf numFmtId="164" fontId="2" fillId="8" borderId="6" xfId="1" applyNumberFormat="1" applyFont="1" applyFill="1" applyBorder="1" applyAlignment="1">
      <alignment horizontal="center"/>
    </xf>
    <xf numFmtId="0" fontId="8" fillId="0" borderId="0" xfId="0" applyFont="1" applyAlignment="1">
      <alignment horizontal="center" vertical="center" wrapText="1"/>
    </xf>
    <xf numFmtId="0" fontId="4" fillId="0" borderId="0" xfId="0" applyFont="1" applyAlignment="1">
      <alignment horizont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8" fillId="0" borderId="0" xfId="0" applyFont="1" applyAlignment="1">
      <alignment horizontal="left" vertical="center" wrapText="1"/>
    </xf>
    <xf numFmtId="10" fontId="8" fillId="0" borderId="0" xfId="1" applyNumberFormat="1" applyFont="1" applyFill="1" applyBorder="1" applyAlignment="1">
      <alignment horizontal="center" vertical="center" wrapText="1"/>
    </xf>
    <xf numFmtId="10" fontId="9" fillId="0" borderId="0" xfId="1" applyNumberFormat="1" applyFont="1" applyFill="1" applyAlignment="1">
      <alignment horizontal="center" wrapText="1"/>
    </xf>
    <xf numFmtId="164" fontId="0" fillId="0" borderId="0" xfId="1" applyNumberFormat="1" applyFont="1" applyBorder="1" applyAlignment="1">
      <alignment horizontal="center"/>
    </xf>
    <xf numFmtId="0" fontId="10" fillId="10" borderId="0" xfId="0" applyFont="1" applyFill="1"/>
    <xf numFmtId="0" fontId="10" fillId="10" borderId="0" xfId="0" applyFont="1" applyFill="1" applyAlignment="1">
      <alignment horizontal="center"/>
    </xf>
    <xf numFmtId="0" fontId="0" fillId="10" borderId="0" xfId="0" applyFill="1"/>
    <xf numFmtId="0" fontId="2" fillId="0" borderId="0" xfId="0" applyFont="1"/>
    <xf numFmtId="164" fontId="2" fillId="0" borderId="0" xfId="1" applyNumberFormat="1" applyFont="1" applyBorder="1" applyAlignment="1">
      <alignment horizontal="center"/>
    </xf>
    <xf numFmtId="0" fontId="3" fillId="0" borderId="11" xfId="0" applyFont="1" applyBorder="1" applyAlignment="1">
      <alignment horizontal="center" wrapText="1"/>
    </xf>
    <xf numFmtId="0" fontId="3" fillId="0" borderId="23" xfId="0" applyFont="1" applyBorder="1" applyAlignment="1">
      <alignment horizontal="center" wrapText="1"/>
    </xf>
    <xf numFmtId="0" fontId="3" fillId="0" borderId="24" xfId="0" applyFont="1" applyBorder="1" applyAlignment="1">
      <alignment horizontal="center" wrapText="1"/>
    </xf>
    <xf numFmtId="0" fontId="4" fillId="5" borderId="0" xfId="0" applyFont="1" applyFill="1" applyAlignment="1">
      <alignment horizontal="center"/>
    </xf>
    <xf numFmtId="0" fontId="4" fillId="5" borderId="0" xfId="0" applyFont="1" applyFill="1" applyAlignment="1">
      <alignment horizontal="left"/>
    </xf>
    <xf numFmtId="0" fontId="12" fillId="0" borderId="0" xfId="0" applyFont="1" applyAlignment="1">
      <alignment horizontal="center"/>
    </xf>
    <xf numFmtId="0" fontId="0" fillId="0" borderId="1" xfId="0" applyBorder="1"/>
    <xf numFmtId="164" fontId="1" fillId="0" borderId="0" xfId="1" applyNumberFormat="1" applyFont="1" applyBorder="1" applyAlignment="1">
      <alignment horizontal="center"/>
    </xf>
    <xf numFmtId="164" fontId="1" fillId="0" borderId="0" xfId="1" applyNumberFormat="1" applyFont="1" applyAlignment="1">
      <alignment horizontal="center" vertical="center"/>
    </xf>
    <xf numFmtId="164" fontId="1" fillId="0" borderId="0" xfId="1" applyNumberFormat="1" applyFont="1" applyBorder="1" applyAlignment="1">
      <alignment horizontal="center" vertical="center"/>
    </xf>
    <xf numFmtId="0" fontId="0" fillId="0" borderId="0" xfId="0" applyAlignment="1">
      <alignment horizontal="center" vertical="center" wrapText="1"/>
    </xf>
    <xf numFmtId="0" fontId="5" fillId="0" borderId="0" xfId="0" applyFont="1" applyAlignment="1">
      <alignment horizontal="center" vertical="center" wrapText="1"/>
    </xf>
    <xf numFmtId="0" fontId="2" fillId="0" borderId="5" xfId="0" applyFont="1" applyBorder="1" applyAlignment="1">
      <alignment horizontal="center"/>
    </xf>
    <xf numFmtId="0" fontId="0" fillId="0" borderId="14" xfId="0"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5" xfId="0"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3" xfId="0" applyBorder="1" applyAlignment="1">
      <alignment horizontal="center"/>
    </xf>
    <xf numFmtId="0" fontId="3" fillId="2" borderId="0" xfId="0" applyFont="1" applyFill="1" applyAlignment="1">
      <alignment horizontal="center"/>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0" xfId="0" applyAlignment="1">
      <alignment horizontal="center"/>
    </xf>
    <xf numFmtId="0" fontId="0" fillId="0" borderId="0" xfId="0" applyAlignment="1">
      <alignment horizontal="center" wrapText="1"/>
    </xf>
    <xf numFmtId="0" fontId="3" fillId="2" borderId="7" xfId="0" applyFont="1" applyFill="1" applyBorder="1" applyAlignment="1">
      <alignment horizontal="center" vertical="center"/>
    </xf>
    <xf numFmtId="0" fontId="0" fillId="0" borderId="1" xfId="0" applyBorder="1"/>
    <xf numFmtId="0" fontId="0" fillId="0" borderId="2" xfId="0" applyBorder="1"/>
    <xf numFmtId="0" fontId="0" fillId="0" borderId="4" xfId="0" applyBorder="1"/>
    <xf numFmtId="0" fontId="0" fillId="0" borderId="5" xfId="0" applyBorder="1"/>
    <xf numFmtId="0" fontId="2" fillId="0" borderId="13" xfId="0" applyFont="1" applyBorder="1" applyAlignment="1">
      <alignment horizontal="center"/>
    </xf>
    <xf numFmtId="0" fontId="0" fillId="0" borderId="0" xfId="0"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3" fillId="0" borderId="0" xfId="0" applyFont="1" applyAlignment="1">
      <alignment horizont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1" fillId="11" borderId="14" xfId="0" applyFont="1" applyFill="1" applyBorder="1" applyAlignment="1">
      <alignment horizontal="left" wrapText="1"/>
    </xf>
    <xf numFmtId="0" fontId="11" fillId="11" borderId="15" xfId="0" applyFont="1" applyFill="1" applyBorder="1" applyAlignment="1">
      <alignment horizontal="left" wrapText="1"/>
    </xf>
    <xf numFmtId="0" fontId="11" fillId="11" borderId="16" xfId="0" applyFont="1" applyFill="1" applyBorder="1" applyAlignment="1">
      <alignment horizontal="left" wrapText="1"/>
    </xf>
    <xf numFmtId="0" fontId="2" fillId="0" borderId="5" xfId="0" applyFont="1" applyBorder="1" applyAlignment="1">
      <alignment horizontal="center"/>
    </xf>
    <xf numFmtId="0" fontId="11" fillId="11" borderId="26" xfId="0" applyFont="1" applyFill="1" applyBorder="1" applyAlignment="1">
      <alignment horizontal="center" wrapText="1"/>
    </xf>
    <xf numFmtId="0" fontId="11" fillId="11" borderId="5" xfId="0" applyFont="1" applyFill="1" applyBorder="1" applyAlignment="1">
      <alignment horizontal="center" wrapText="1"/>
    </xf>
    <xf numFmtId="0" fontId="11" fillId="11" borderId="27" xfId="0" applyFont="1" applyFill="1" applyBorder="1" applyAlignment="1">
      <alignment horizont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0" xfId="0" applyAlignment="1">
      <alignment horizontal="left"/>
    </xf>
    <xf numFmtId="0" fontId="2" fillId="0" borderId="0" xfId="0" applyFont="1" applyAlignment="1">
      <alignment horizontal="center" vertical="center"/>
    </xf>
    <xf numFmtId="0" fontId="2" fillId="6" borderId="17" xfId="0" applyFont="1" applyFill="1" applyBorder="1" applyAlignment="1">
      <alignment horizontal="center" vertical="center" textRotation="90"/>
    </xf>
    <xf numFmtId="0" fontId="2" fillId="6" borderId="18" xfId="0" applyFont="1" applyFill="1" applyBorder="1" applyAlignment="1">
      <alignment horizontal="center" vertical="center" textRotation="90"/>
    </xf>
    <xf numFmtId="0" fontId="2" fillId="6" borderId="19" xfId="0" applyFont="1" applyFill="1" applyBorder="1" applyAlignment="1">
      <alignment horizontal="center" vertical="center" textRotation="90"/>
    </xf>
    <xf numFmtId="0" fontId="2" fillId="7" borderId="17" xfId="0" applyFont="1" applyFill="1" applyBorder="1" applyAlignment="1">
      <alignment horizontal="center" vertical="center" textRotation="90"/>
    </xf>
    <xf numFmtId="0" fontId="2" fillId="7" borderId="18" xfId="0" applyFont="1" applyFill="1" applyBorder="1" applyAlignment="1">
      <alignment horizontal="center" vertical="center" textRotation="90"/>
    </xf>
    <xf numFmtId="0" fontId="2" fillId="7" borderId="19" xfId="0" applyFont="1" applyFill="1" applyBorder="1" applyAlignment="1">
      <alignment horizontal="center" vertical="center" textRotation="90"/>
    </xf>
    <xf numFmtId="0" fontId="2" fillId="7" borderId="6" xfId="0" applyFont="1" applyFill="1" applyBorder="1" applyAlignment="1">
      <alignment horizontal="center" vertical="center" textRotation="90"/>
    </xf>
    <xf numFmtId="0" fontId="2" fillId="7" borderId="12" xfId="0" applyFont="1" applyFill="1" applyBorder="1" applyAlignment="1">
      <alignment horizontal="center" vertical="center" textRotation="90"/>
    </xf>
    <xf numFmtId="0" fontId="2" fillId="7" borderId="3" xfId="0" applyFont="1" applyFill="1" applyBorder="1" applyAlignment="1">
      <alignment horizontal="center" vertical="center" textRotation="90"/>
    </xf>
    <xf numFmtId="0" fontId="2" fillId="0" borderId="25" xfId="0" applyFont="1" applyBorder="1" applyAlignment="1">
      <alignment horizontal="center" vertical="center" wrapText="1"/>
    </xf>
    <xf numFmtId="0" fontId="0" fillId="0" borderId="0" xfId="0"/>
    <xf numFmtId="0" fontId="6" fillId="0" borderId="0" xfId="2" applyFill="1" applyAlignment="1" applyProtection="1">
      <alignment horizontal="center"/>
    </xf>
    <xf numFmtId="0" fontId="6" fillId="0" borderId="20" xfId="2" applyBorder="1" applyAlignment="1" applyProtection="1">
      <alignment horizontal="center"/>
    </xf>
    <xf numFmtId="0" fontId="6" fillId="0" borderId="21" xfId="2" applyBorder="1" applyAlignment="1" applyProtection="1">
      <alignment horizontal="center"/>
    </xf>
    <xf numFmtId="0" fontId="6" fillId="0" borderId="22" xfId="2" applyBorder="1" applyAlignment="1" applyProtection="1">
      <alignment horizontal="center"/>
    </xf>
  </cellXfs>
  <cellStyles count="4">
    <cellStyle name="Hyperlink" xfId="2" builtinId="8"/>
    <cellStyle name="Normal" xfId="0" builtinId="0"/>
    <cellStyle name="Normal 2" xfId="3" xr:uid="{00000000-0005-0000-0000-000002000000}"/>
    <cellStyle name="Percent" xfId="1" builtinId="5"/>
  </cellStyles>
  <dxfs count="228">
    <dxf>
      <font>
        <b/>
        <i val="0"/>
        <strike val="0"/>
        <condense val="0"/>
        <extend val="0"/>
        <outline val="0"/>
        <shadow val="0"/>
        <u val="none"/>
        <vertAlign val="baseline"/>
        <sz val="11"/>
        <color theme="1"/>
        <name val="Calibri"/>
        <scheme val="minor"/>
      </font>
      <numFmt numFmtId="164" formatCode="0.0%"/>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dxf>
    <dxf>
      <border outline="0">
        <bottom style="thin">
          <color indexed="64"/>
        </bottom>
      </border>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strike val="0"/>
        <outline val="0"/>
        <shadow val="0"/>
        <u val="none"/>
        <vertAlign val="baseline"/>
        <color auto="1"/>
        <name val="Calibri"/>
        <scheme val="minor"/>
      </font>
    </dxf>
    <dxf>
      <font>
        <strike val="0"/>
        <outline val="0"/>
        <shadow val="0"/>
        <u val="none"/>
        <vertAlign val="baseline"/>
        <color auto="1"/>
        <name val="Calibri"/>
        <scheme val="minor"/>
      </font>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general" vertical="bottom" textRotation="0" wrapText="0" relativeIndent="0" justifyLastLine="0" shrinkToFit="0" readingOrder="0"/>
      <border diagonalUp="0" diagonalDown="0">
        <left/>
        <right/>
        <top/>
        <bottom style="thin">
          <color indexed="64"/>
        </bottom>
        <vertical/>
        <horizontal/>
      </border>
    </dxf>
    <dxf>
      <border outline="0">
        <bottom style="thin">
          <color indexed="64"/>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2" tint="-0.499984740745262"/>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7" tint="0.39997558519241921"/>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border diagonalUp="0" diagonalDown="0" outline="0">
        <left/>
        <right/>
        <top/>
        <bottom/>
      </border>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10</xdr:col>
      <xdr:colOff>0</xdr:colOff>
      <xdr:row>49</xdr:row>
      <xdr:rowOff>85725</xdr:rowOff>
    </xdr:from>
    <xdr:ext cx="184731" cy="264560"/>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9982200" y="1120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0000000}" name="Table11" displayName="Table11" ref="A45:G49" totalsRowShown="0" headerRowDxfId="227" dataDxfId="226">
  <tableColumns count="7">
    <tableColumn id="1" xr3:uid="{00000000-0010-0000-0000-000001000000}" name="Suspect- Sex"/>
    <tableColumn id="2" xr3:uid="{00000000-0010-0000-0000-000002000000}" name="Q1" dataDxfId="225"/>
    <tableColumn id="3" xr3:uid="{00000000-0010-0000-0000-000003000000}" name="Q2" dataDxfId="224"/>
    <tableColumn id="4" xr3:uid="{00000000-0010-0000-0000-000004000000}" name="Q3" dataDxfId="223"/>
    <tableColumn id="5" xr3:uid="{00000000-0010-0000-0000-000005000000}" name="Q4" dataDxfId="222"/>
    <tableColumn id="6" xr3:uid="{00000000-0010-0000-0000-000006000000}" name="Total" dataDxfId="221"/>
    <tableColumn id="7" xr3:uid="{00000000-0010-0000-0000-000007000000}" name="%" dataDxfId="220" dataCellStyle="Percent"/>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F2A9D51-4E75-4A2A-AA2C-DC44203BB021}" name="Table161113" displayName="Table161113" ref="J2:P39" totalsRowShown="0" headerRowDxfId="149" dataDxfId="147" headerRowBorderDxfId="148" tableBorderDxfId="146">
  <tableColumns count="7">
    <tableColumn id="1" xr3:uid="{B50DDF28-AD56-49AF-ADA0-529F1AF6D7AD}" name="Group A Offenses"/>
    <tableColumn id="2" xr3:uid="{152FDB12-CC3B-402B-BD34-7CAA6C8C1677}" name="Q1" dataDxfId="145"/>
    <tableColumn id="3" xr3:uid="{28AF13FA-0768-4E7C-8998-FEA0C06F058E}" name="Q2" dataDxfId="144"/>
    <tableColumn id="4" xr3:uid="{4D039A2C-E896-41CA-ABA8-F7D102872CD5}" name="Q3" dataDxfId="143"/>
    <tableColumn id="5" xr3:uid="{940A00C8-A9AF-401B-9F4C-D5455FD476AD}" name="Q4" dataDxfId="142"/>
    <tableColumn id="6" xr3:uid="{26ECDBB7-726C-427C-B79D-F7F1EC329CAC}" name="Total" dataDxfId="141"/>
    <tableColumn id="7" xr3:uid="{F7F0E793-4734-4C24-B8B3-5686872438D9}" name="%" dataDxfId="140" dataCellStyle="Percent"/>
  </tableColumns>
  <tableStyleInfo name="TableStyleMedium10"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3BDF8AC-A11F-4424-A6DE-FC1851071135}" name="Table2131214" displayName="Table2131214" ref="J49:P56" totalsRowShown="0" headerRowDxfId="139" dataDxfId="137" headerRowBorderDxfId="138" tableBorderDxfId="136">
  <tableColumns count="7">
    <tableColumn id="1" xr3:uid="{D46EC24B-6A51-48E1-A900-1F2D6E92155F}" name="Race"/>
    <tableColumn id="2" xr3:uid="{1254CC6A-6351-4497-8076-B26D9A898FBF}" name="Q1" dataDxfId="135"/>
    <tableColumn id="3" xr3:uid="{114AD5E1-8259-42C5-BFF5-E77F5239D6A3}" name="Q2" dataDxfId="134"/>
    <tableColumn id="4" xr3:uid="{0FFF424C-2059-46FA-A796-7C49830A6FE9}" name="Q3" dataDxfId="133"/>
    <tableColumn id="5" xr3:uid="{C1334219-AF7E-42F1-AF45-E1E9832E18E5}" name="Q4" dataDxfId="132"/>
    <tableColumn id="6" xr3:uid="{3ECFA436-0223-4153-BFF9-490E9A4F43EE}" name="Total" dataDxfId="131"/>
    <tableColumn id="7" xr3:uid="{9F77A596-AB9E-498C-885D-82AF070B5151}" name="%" dataDxfId="130" dataCellStyle="Percent"/>
  </tableColumns>
  <tableStyleInfo name="TableStyleMedium1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B395F3C-19F7-4463-9252-053D39903DF7}" name="Table115" displayName="Table115" ref="J43:P47" totalsRowShown="0" headerRowDxfId="129" headerRowBorderDxfId="128" tableBorderDxfId="127">
  <tableColumns count="7">
    <tableColumn id="1" xr3:uid="{6432703B-1639-4A69-935A-9C006FFCB7A7}" name="Sex"/>
    <tableColumn id="2" xr3:uid="{9BE34C4A-AAB1-4FBF-83C7-53E46B5A0518}" name="Q1"/>
    <tableColumn id="3" xr3:uid="{BCC94299-2B3A-4321-B4C2-628C5ED0D218}" name="Q2"/>
    <tableColumn id="4" xr3:uid="{916C2258-5CF6-48D3-AB4F-7DC93631BD6E}" name="Q3"/>
    <tableColumn id="5" xr3:uid="{F3E47410-CDCC-4BC8-AF98-443A3A29D7E8}" name="Q4"/>
    <tableColumn id="6" xr3:uid="{5C173F40-A006-41D8-A618-AC77E5640DD1}" name="Total"/>
    <tableColumn id="7" xr3:uid="{F3EA9E9C-14D2-493F-921C-71E454DDACE8}" name="%"/>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9000000}" name="Table3" displayName="Table3" ref="A2:G6" totalsRowShown="0" headerRowDxfId="126" dataDxfId="125">
  <tableColumns count="7">
    <tableColumn id="1" xr3:uid="{00000000-0010-0000-0900-000001000000}" name="Sex"/>
    <tableColumn id="2" xr3:uid="{00000000-0010-0000-0900-000002000000}" name="Q1" dataDxfId="124"/>
    <tableColumn id="3" xr3:uid="{00000000-0010-0000-0900-000003000000}" name="Q2" dataDxfId="123"/>
    <tableColumn id="4" xr3:uid="{00000000-0010-0000-0900-000004000000}" name="Q3" dataDxfId="122"/>
    <tableColumn id="5" xr3:uid="{00000000-0010-0000-0900-000005000000}" name="Q4" dataDxfId="121"/>
    <tableColumn id="6" xr3:uid="{00000000-0010-0000-0900-000006000000}" name="Total" dataDxfId="120"/>
    <tableColumn id="7" xr3:uid="{00000000-0010-0000-0900-000007000000}" name="%" dataDxfId="119" dataCellStyle="Percent">
      <calculatedColumnFormula>F3/$F$6</calculatedColumnFormula>
    </tableColumn>
  </tableColumns>
  <tableStyleInfo name="TableStyleMedium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A000000}" name="Table4" displayName="Table4" ref="A8:G15" totalsRowShown="0" headerRowDxfId="118" dataDxfId="117">
  <tableColumns count="7">
    <tableColumn id="1" xr3:uid="{00000000-0010-0000-0A00-000001000000}" name="Race"/>
    <tableColumn id="2" xr3:uid="{00000000-0010-0000-0A00-000002000000}" name="Q1" dataDxfId="116"/>
    <tableColumn id="3" xr3:uid="{00000000-0010-0000-0A00-000003000000}" name="Q2" dataDxfId="115"/>
    <tableColumn id="4" xr3:uid="{00000000-0010-0000-0A00-000004000000}" name="Q3" dataDxfId="114"/>
    <tableColumn id="5" xr3:uid="{00000000-0010-0000-0A00-000005000000}" name="Q4" dataDxfId="113"/>
    <tableColumn id="6" xr3:uid="{00000000-0010-0000-0A00-000006000000}" name="Total" dataDxfId="112"/>
    <tableColumn id="7" xr3:uid="{00000000-0010-0000-0A00-000007000000}" name="%" dataDxfId="111" dataCellStyle="Percent">
      <calculatedColumnFormula>F9/$F$15</calculatedColumnFormula>
    </tableColumn>
  </tableColumns>
  <tableStyleInfo name="TableStyleMedium1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B000000}" name="Table5" displayName="Table5" ref="A18:G22" totalsRowShown="0" headerRowDxfId="110" dataDxfId="109">
  <tableColumns count="7">
    <tableColumn id="1" xr3:uid="{00000000-0010-0000-0B00-000001000000}" name="Sex"/>
    <tableColumn id="2" xr3:uid="{00000000-0010-0000-0B00-000002000000}" name="Q1" dataDxfId="108"/>
    <tableColumn id="3" xr3:uid="{00000000-0010-0000-0B00-000003000000}" name="Q2" dataDxfId="107"/>
    <tableColumn id="4" xr3:uid="{00000000-0010-0000-0B00-000004000000}" name="Q3" dataDxfId="106"/>
    <tableColumn id="5" xr3:uid="{00000000-0010-0000-0B00-000005000000}" name="Q4" dataDxfId="105"/>
    <tableColumn id="6" xr3:uid="{00000000-0010-0000-0B00-000006000000}" name="Total" dataDxfId="104"/>
    <tableColumn id="7" xr3:uid="{00000000-0010-0000-0B00-000007000000}" name="%" dataDxfId="103" dataCellStyle="Percent"/>
  </tableColumns>
  <tableStyleInfo name="TableStyleMedium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C000000}" name="Table6" displayName="Table6" ref="A24:G31" totalsRowShown="0" headerRowDxfId="102" dataDxfId="101">
  <tableColumns count="7">
    <tableColumn id="1" xr3:uid="{00000000-0010-0000-0C00-000001000000}" name="Race"/>
    <tableColumn id="2" xr3:uid="{00000000-0010-0000-0C00-000002000000}" name="Q1" dataDxfId="100"/>
    <tableColumn id="3" xr3:uid="{00000000-0010-0000-0C00-000003000000}" name="Q2" dataDxfId="99"/>
    <tableColumn id="4" xr3:uid="{00000000-0010-0000-0C00-000004000000}" name="Q3" dataDxfId="98"/>
    <tableColumn id="5" xr3:uid="{00000000-0010-0000-0C00-000005000000}" name="Q4" dataDxfId="97"/>
    <tableColumn id="6" xr3:uid="{00000000-0010-0000-0C00-000006000000}" name="Total" dataDxfId="96"/>
    <tableColumn id="7" xr3:uid="{00000000-0010-0000-0C00-000007000000}" name="%" dataDxfId="95" dataCellStyle="Percent"/>
  </tableColumns>
  <tableStyleInfo name="TableStyleMedium1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D000000}" name="Table7" displayName="Table7" ref="A34:G38" totalsRowShown="0" headerRowDxfId="94" dataDxfId="93">
  <tableColumns count="7">
    <tableColumn id="1" xr3:uid="{00000000-0010-0000-0D00-000001000000}" name="Sex"/>
    <tableColumn id="2" xr3:uid="{00000000-0010-0000-0D00-000002000000}" name="Q1" dataDxfId="92"/>
    <tableColumn id="3" xr3:uid="{00000000-0010-0000-0D00-000003000000}" name="Q2" dataDxfId="91"/>
    <tableColumn id="4" xr3:uid="{00000000-0010-0000-0D00-000004000000}" name="Q3" dataDxfId="90"/>
    <tableColumn id="5" xr3:uid="{00000000-0010-0000-0D00-000005000000}" name="Q4" dataDxfId="89"/>
    <tableColumn id="6" xr3:uid="{00000000-0010-0000-0D00-000006000000}" name="Total" dataDxfId="88"/>
    <tableColumn id="7" xr3:uid="{00000000-0010-0000-0D00-000007000000}" name="%" dataDxfId="87" dataCellStyle="Percent"/>
  </tableColumns>
  <tableStyleInfo name="TableStyleMedium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E000000}" name="Table8" displayName="Table8" ref="A40:G47" totalsRowShown="0" headerRowDxfId="86" dataDxfId="85">
  <tableColumns count="7">
    <tableColumn id="1" xr3:uid="{00000000-0010-0000-0E00-000001000000}" name="Race"/>
    <tableColumn id="2" xr3:uid="{00000000-0010-0000-0E00-000002000000}" name="Q1" dataDxfId="84"/>
    <tableColumn id="3" xr3:uid="{00000000-0010-0000-0E00-000003000000}" name="Q2" dataDxfId="83"/>
    <tableColumn id="4" xr3:uid="{00000000-0010-0000-0E00-000004000000}" name="Q3" dataDxfId="82"/>
    <tableColumn id="5" xr3:uid="{00000000-0010-0000-0E00-000005000000}" name="Q4" dataDxfId="81"/>
    <tableColumn id="6" xr3:uid="{00000000-0010-0000-0E00-000006000000}" name="Total" dataDxfId="80"/>
    <tableColumn id="7" xr3:uid="{00000000-0010-0000-0E00-000007000000}" name="%" dataDxfId="79" dataCellStyle="Percent"/>
  </tableColumns>
  <tableStyleInfo name="TableStyleMedium1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F000000}" name="Table11132524" displayName="Table11132524" ref="C48:I51" totalsRowShown="0" headerRowDxfId="78" dataDxfId="77">
  <tableColumns count="7">
    <tableColumn id="1" xr3:uid="{00000000-0010-0000-0F00-000001000000}" name="Officer*- Sex"/>
    <tableColumn id="2" xr3:uid="{00000000-0010-0000-0F00-000002000000}" name="Q1" dataDxfId="76"/>
    <tableColumn id="3" xr3:uid="{00000000-0010-0000-0F00-000003000000}" name="Q2" dataDxfId="75"/>
    <tableColumn id="4" xr3:uid="{00000000-0010-0000-0F00-000004000000}" name="Q3" dataDxfId="74"/>
    <tableColumn id="5" xr3:uid="{00000000-0010-0000-0F00-000005000000}" name="Q4" dataDxfId="73"/>
    <tableColumn id="6" xr3:uid="{00000000-0010-0000-0F00-000006000000}" name="Total" dataDxfId="72"/>
    <tableColumn id="7" xr3:uid="{00000000-0010-0000-0F00-000007000000}" name="%" dataDxfId="71" dataCellStyle="Percent">
      <calculatedColumnFormula>H49/$H$51</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1000000}" name="Table13" displayName="Table13" ref="A51:G58" totalsRowShown="0" headerRowDxfId="219" dataDxfId="218">
  <tableColumns count="7">
    <tableColumn id="1" xr3:uid="{00000000-0010-0000-0100-000001000000}" name="Suspect- Race"/>
    <tableColumn id="2" xr3:uid="{00000000-0010-0000-0100-000002000000}" name="Q1" dataDxfId="217"/>
    <tableColumn id="3" xr3:uid="{00000000-0010-0000-0100-000003000000}" name="Q2" dataDxfId="216"/>
    <tableColumn id="4" xr3:uid="{00000000-0010-0000-0100-000004000000}" name="Q3" dataDxfId="215"/>
    <tableColumn id="5" xr3:uid="{00000000-0010-0000-0100-000005000000}" name="Q4" dataDxfId="214"/>
    <tableColumn id="6" xr3:uid="{00000000-0010-0000-0100-000006000000}" name="Total" dataDxfId="213"/>
    <tableColumn id="7" xr3:uid="{00000000-0010-0000-0100-000007000000}" name="%" dataDxfId="212" dataCellStyle="Percent"/>
  </tableColumns>
  <tableStyleInfo name="TableStyleMedium1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0000000}" name="Table13152631" displayName="Table13152631" ref="C58:I65" totalsRowShown="0" headerRowDxfId="70" dataDxfId="69">
  <tableColumns count="7">
    <tableColumn id="1" xr3:uid="{00000000-0010-0000-1000-000001000000}" name="Officer*- Race"/>
    <tableColumn id="2" xr3:uid="{00000000-0010-0000-1000-000002000000}" name="Q1" dataDxfId="68"/>
    <tableColumn id="3" xr3:uid="{00000000-0010-0000-1000-000003000000}" name="Q2" dataDxfId="67"/>
    <tableColumn id="4" xr3:uid="{00000000-0010-0000-1000-000004000000}" name="Q3" dataDxfId="66"/>
    <tableColumn id="5" xr3:uid="{00000000-0010-0000-1000-000005000000}" name="Q4" dataDxfId="65"/>
    <tableColumn id="6" xr3:uid="{00000000-0010-0000-1000-000006000000}" name="Total" dataDxfId="64"/>
    <tableColumn id="7" xr3:uid="{00000000-0010-0000-1000-000007000000}" name="%" dataDxfId="63" dataCellStyle="Percent">
      <calculatedColumnFormula>H59/$H$65</calculatedColumnFormula>
    </tableColumn>
  </tableColumns>
  <tableStyleInfo name="TableStyleMedium1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1000000}" name="Table15212732" displayName="Table15212732" ref="C15:I27" totalsRowShown="0" headerRowDxfId="62" dataDxfId="61">
  <tableColumns count="7">
    <tableColumn id="1" xr3:uid="{00000000-0010-0000-1100-000001000000}" name="Force"/>
    <tableColumn id="2" xr3:uid="{00000000-0010-0000-1100-000002000000}" name="Q1" dataDxfId="60"/>
    <tableColumn id="3" xr3:uid="{00000000-0010-0000-1100-000003000000}" name="Q2" dataDxfId="59"/>
    <tableColumn id="4" xr3:uid="{00000000-0010-0000-1100-000004000000}" name="Q3" dataDxfId="58"/>
    <tableColumn id="5" xr3:uid="{00000000-0010-0000-1100-000005000000}" name="Q4" dataDxfId="57"/>
    <tableColumn id="6" xr3:uid="{00000000-0010-0000-1100-000006000000}" name="Total" dataDxfId="56"/>
    <tableColumn id="7" xr3:uid="{00000000-0010-0000-1100-000007000000}" name="%" dataDxfId="55" dataCellStyle="Percent">
      <calculatedColumnFormula>Table15212732[[#This Row],[Total]]/$H$26</calculatedColumnFormula>
    </tableColumn>
  </tableColumns>
  <tableStyleInfo name="TableStyleMedium10"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2000000}" name="Table17222833" displayName="Table17222833" ref="C29:I38" totalsRowShown="0" headerRowDxfId="54" dataDxfId="53">
  <tableColumns count="7">
    <tableColumn id="1" xr3:uid="{00000000-0010-0000-1200-000001000000}" name="District*"/>
    <tableColumn id="2" xr3:uid="{00000000-0010-0000-1200-000002000000}" name="Q1" dataDxfId="52"/>
    <tableColumn id="3" xr3:uid="{00000000-0010-0000-1200-000003000000}" name="Q2" dataDxfId="51"/>
    <tableColumn id="4" xr3:uid="{00000000-0010-0000-1200-000004000000}" name="Q3" dataDxfId="50"/>
    <tableColumn id="5" xr3:uid="{00000000-0010-0000-1200-000005000000}" name="Q4" dataDxfId="49">
      <calculatedColumnFormula>SUM(G21:G29)</calculatedColumnFormula>
    </tableColumn>
    <tableColumn id="6" xr3:uid="{00000000-0010-0000-1200-000006000000}" name="Total" dataDxfId="48"/>
    <tableColumn id="7" xr3:uid="{00000000-0010-0000-1200-000007000000}" name="%" dataDxfId="47" dataCellStyle="Percent"/>
  </tableColumns>
  <tableStyleInfo name="TableStyleMedium7"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3000000}" name="Table1219232934" displayName="Table1219232934" ref="C67:I71" totalsRowShown="0" headerRowDxfId="46" dataDxfId="45">
  <tableColumns count="7">
    <tableColumn id="1" xr3:uid="{00000000-0010-0000-1300-000001000000}" name="Citizen- Sex"/>
    <tableColumn id="2" xr3:uid="{00000000-0010-0000-1300-000002000000}" name="Q1" dataDxfId="44"/>
    <tableColumn id="3" xr3:uid="{00000000-0010-0000-1300-000003000000}" name="Q2" dataDxfId="43"/>
    <tableColumn id="4" xr3:uid="{00000000-0010-0000-1300-000004000000}" name="Q3" dataDxfId="42"/>
    <tableColumn id="5" xr3:uid="{00000000-0010-0000-1300-000005000000}" name="Q4" dataDxfId="41"/>
    <tableColumn id="6" xr3:uid="{00000000-0010-0000-1300-000006000000}" name="Total" dataDxfId="40"/>
    <tableColumn id="7" xr3:uid="{00000000-0010-0000-1300-000007000000}" name="%" dataDxfId="39" dataCellStyle="Percent">
      <calculatedColumnFormula>H68/$H$71</calculatedColumnFormula>
    </tableColumn>
  </tableColumns>
  <tableStyleInfo name="TableStyleMedium9"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4000000}" name="Table1420243035" displayName="Table1420243035" ref="C73:I81" totalsRowShown="0" headerRowDxfId="38" dataDxfId="37">
  <tableColumns count="7">
    <tableColumn id="1" xr3:uid="{00000000-0010-0000-1400-000001000000}" name="Citizen- Race"/>
    <tableColumn id="2" xr3:uid="{00000000-0010-0000-1400-000002000000}" name="Q1" dataDxfId="36"/>
    <tableColumn id="3" xr3:uid="{00000000-0010-0000-1400-000003000000}" name="Q2" dataDxfId="35"/>
    <tableColumn id="4" xr3:uid="{00000000-0010-0000-1400-000004000000}" name="Q3" dataDxfId="34"/>
    <tableColumn id="5" xr3:uid="{00000000-0010-0000-1400-000005000000}" name="Q4" dataDxfId="33">
      <calculatedColumnFormula>SUM(G67:G73)</calculatedColumnFormula>
    </tableColumn>
    <tableColumn id="6" xr3:uid="{00000000-0010-0000-1400-000006000000}" name="Total" dataDxfId="32"/>
    <tableColumn id="7" xr3:uid="{00000000-0010-0000-1400-000007000000}" name="%" dataDxfId="31" dataCellStyle="Percent">
      <calculatedColumnFormula>H74/$H$81</calculatedColumnFormula>
    </tableColumn>
  </tableColumns>
  <tableStyleInfo name="TableStyleMedium1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5000000}" name="Table1236" displayName="Table1236" ref="C93:I141" totalsRowShown="0" headerRowDxfId="30">
  <tableColumns count="7">
    <tableColumn id="2" xr3:uid="{00000000-0010-0000-1500-000002000000}" name="Citizen Race"/>
    <tableColumn id="3" xr3:uid="{00000000-0010-0000-1500-000003000000}" name="Q1" dataDxfId="29"/>
    <tableColumn id="4" xr3:uid="{00000000-0010-0000-1500-000004000000}" name="Q2"/>
    <tableColumn id="5" xr3:uid="{00000000-0010-0000-1500-000005000000}" name="Q3"/>
    <tableColumn id="6" xr3:uid="{00000000-0010-0000-1500-000006000000}" name="Q4"/>
    <tableColumn id="7" xr3:uid="{00000000-0010-0000-1500-000007000000}" name="Total" dataDxfId="28"/>
    <tableColumn id="8" xr3:uid="{00000000-0010-0000-1500-000008000000}" name="%" dataDxfId="27" dataCellStyle="Percent">
      <calculatedColumnFormula>H94/$H$141</calculatedColumnFormula>
    </tableColumn>
  </tableColumns>
  <tableStyleInfo name="TableStyleMedium1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6000000}" name="Table1537" displayName="Table1537" ref="C83:I88" totalsRowShown="0" headerRowDxfId="26" dataDxfId="25" tableBorderDxfId="24">
  <tableColumns count="7">
    <tableColumn id="1" xr3:uid="{00000000-0010-0000-1600-000001000000}" name="Other Influencing Factors" dataDxfId="23"/>
    <tableColumn id="2" xr3:uid="{00000000-0010-0000-1600-000002000000}" name="Q1" dataDxfId="22"/>
    <tableColumn id="3" xr3:uid="{00000000-0010-0000-1600-000003000000}" name="Q2" dataDxfId="21"/>
    <tableColumn id="4" xr3:uid="{00000000-0010-0000-1600-000004000000}" name="Q3" dataDxfId="20"/>
    <tableColumn id="5" xr3:uid="{00000000-0010-0000-1600-000005000000}" name="Q4" dataDxfId="19"/>
    <tableColumn id="6" xr3:uid="{00000000-0010-0000-1600-000006000000}" name="Total" dataDxfId="18">
      <calculatedColumnFormula>SUM(D84:G84)</calculatedColumnFormula>
    </tableColumn>
    <tableColumn id="7" xr3:uid="{00000000-0010-0000-1600-000007000000}" name="%" dataDxfId="17" dataCellStyle="Percent">
      <calculatedColumnFormula>H84/$H$88</calculatedColumnFormula>
    </tableColumn>
  </tableColumns>
  <tableStyleInfo name="TableStyleMedium9"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7000000}" name="Table9" displayName="Table9" ref="C9:I12" totalsRowShown="0" headerRowDxfId="16" dataDxfId="15">
  <autoFilter ref="C9:I12" xr:uid="{00000000-0009-0000-0100-000009000000}"/>
  <tableColumns count="7">
    <tableColumn id="1" xr3:uid="{00000000-0010-0000-1700-000001000000}" name="Description" dataDxfId="14"/>
    <tableColumn id="2" xr3:uid="{00000000-0010-0000-1700-000002000000}" name="Q1" dataDxfId="13"/>
    <tableColumn id="3" xr3:uid="{00000000-0010-0000-1700-000003000000}" name="Q2" dataDxfId="12"/>
    <tableColumn id="4" xr3:uid="{00000000-0010-0000-1700-000004000000}" name="Q3" dataDxfId="11"/>
    <tableColumn id="5" xr3:uid="{00000000-0010-0000-1700-000005000000}" name="Q4" dataDxfId="10"/>
    <tableColumn id="6" xr3:uid="{00000000-0010-0000-1700-000006000000}" name="Total" dataDxfId="9">
      <calculatedColumnFormula>SUM(Table9[[#This Row],[Q1]:[Q4]])</calculatedColumnFormula>
    </tableColumn>
    <tableColumn id="7" xr3:uid="{00000000-0010-0000-1700-000007000000}" name=" " dataDxfId="8"/>
  </tableColumns>
  <tableStyleInfo name="TableStyleMedium8"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8000000}" name="Table2" displayName="Table2" ref="C40:I44" totalsRowShown="0" tableBorderDxfId="7">
  <autoFilter ref="C40:I44" xr:uid="{00000000-0009-0000-0100-000002000000}"/>
  <tableColumns count="7">
    <tableColumn id="1" xr3:uid="{00000000-0010-0000-1800-000001000000}" name="Time of Day/Patrol Shift" dataDxfId="6"/>
    <tableColumn id="2" xr3:uid="{00000000-0010-0000-1800-000002000000}" name="Q1" dataDxfId="5"/>
    <tableColumn id="3" xr3:uid="{00000000-0010-0000-1800-000003000000}" name="Q2" dataDxfId="4"/>
    <tableColumn id="4" xr3:uid="{00000000-0010-0000-1800-000004000000}" name="Q3" dataDxfId="3"/>
    <tableColumn id="5" xr3:uid="{00000000-0010-0000-1800-000005000000}" name="Q4" dataDxfId="2"/>
    <tableColumn id="6" xr3:uid="{00000000-0010-0000-1800-000006000000}" name="Total" dataDxfId="1"/>
    <tableColumn id="7" xr3:uid="{00000000-0010-0000-1800-000007000000}" name="%" dataDxfId="0" dataCellStyle="Percent">
      <calculatedColumnFormula>Table2[[#This Row],[Total]]/H42</calculatedColumnFormula>
    </tableColumn>
  </tableColumns>
  <tableStyleInfo name="TableStyleMedium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2000000}" name="Table1520" displayName="Table1520" ref="A4:G42" totalsRowShown="0" headerRowDxfId="211" dataDxfId="210">
  <tableColumns count="7">
    <tableColumn id="1" xr3:uid="{00000000-0010-0000-0200-000001000000}" name="Group A Offenses" totalsRowDxfId="209"/>
    <tableColumn id="2" xr3:uid="{00000000-0010-0000-0200-000002000000}" name="Q1" dataDxfId="208" totalsRowDxfId="207"/>
    <tableColumn id="3" xr3:uid="{00000000-0010-0000-0200-000003000000}" name="Q2" dataDxfId="206" totalsRowDxfId="205"/>
    <tableColumn id="4" xr3:uid="{00000000-0010-0000-0200-000004000000}" name="Q3" dataDxfId="204" totalsRowDxfId="203"/>
    <tableColumn id="5" xr3:uid="{00000000-0010-0000-0200-000005000000}" name="Q4" dataDxfId="202" totalsRowDxfId="201"/>
    <tableColumn id="6" xr3:uid="{00000000-0010-0000-0200-000006000000}" name="Total" dataDxfId="200" totalsRowDxfId="199"/>
    <tableColumn id="7" xr3:uid="{00000000-0010-0000-0200-000007000000}" name="%" dataDxfId="198" totalsRowDxfId="197" dataCellStyle="Percent"/>
  </tableColumns>
  <tableStyleInfo name="TableStyleMedium1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3000000}" name="Table17" displayName="Table17" ref="A77:G85" totalsRowShown="0" headerRowDxfId="196" dataDxfId="195">
  <tableColumns count="7">
    <tableColumn id="1" xr3:uid="{00000000-0010-0000-0300-000001000000}" name="District"/>
    <tableColumn id="2" xr3:uid="{00000000-0010-0000-0300-000002000000}" name="Q1" dataDxfId="194"/>
    <tableColumn id="3" xr3:uid="{00000000-0010-0000-0300-000003000000}" name="Q2" dataDxfId="193"/>
    <tableColumn id="4" xr3:uid="{00000000-0010-0000-0300-000004000000}" name="Q3" dataDxfId="192"/>
    <tableColumn id="5" xr3:uid="{00000000-0010-0000-0300-000005000000}" name="Q4" dataDxfId="191"/>
    <tableColumn id="6" xr3:uid="{00000000-0010-0000-0300-000006000000}" name="Total" dataDxfId="190"/>
    <tableColumn id="7" xr3:uid="{00000000-0010-0000-0300-000007000000}" name="%" dataDxfId="189" dataCellStyle="Percent"/>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4000000}" name="Table1219" displayName="Table1219" ref="A61:G65" totalsRowShown="0" headerRowDxfId="188" dataDxfId="187">
  <tableColumns count="7">
    <tableColumn id="1" xr3:uid="{00000000-0010-0000-0400-000001000000}" name="Victim- Sex"/>
    <tableColumn id="2" xr3:uid="{00000000-0010-0000-0400-000002000000}" name="Q1" dataDxfId="186"/>
    <tableColumn id="3" xr3:uid="{00000000-0010-0000-0400-000003000000}" name="Q2" dataDxfId="185"/>
    <tableColumn id="4" xr3:uid="{00000000-0010-0000-0400-000004000000}" name="Q3" dataDxfId="184"/>
    <tableColumn id="5" xr3:uid="{00000000-0010-0000-0400-000005000000}" name="Q4" dataDxfId="183"/>
    <tableColumn id="6" xr3:uid="{00000000-0010-0000-0400-000006000000}" name="Total" dataDxfId="182"/>
    <tableColumn id="7" xr3:uid="{00000000-0010-0000-0400-000007000000}" name="%" dataDxfId="181" dataCellStyle="Percent">
      <calculatedColumnFormula>F62/$F$65</calculatedColumnFormula>
    </tableColumn>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5000000}" name="Table1420" displayName="Table1420" ref="A67:G74" totalsRowShown="0" headerRowDxfId="180" dataDxfId="179">
  <tableColumns count="7">
    <tableColumn id="1" xr3:uid="{00000000-0010-0000-0500-000001000000}" name="Victim- Race"/>
    <tableColumn id="2" xr3:uid="{00000000-0010-0000-0500-000002000000}" name="Q1" dataDxfId="178"/>
    <tableColumn id="3" xr3:uid="{00000000-0010-0000-0500-000003000000}" name="Q2" dataDxfId="177"/>
    <tableColumn id="4" xr3:uid="{00000000-0010-0000-0500-000004000000}" name="Q3" dataDxfId="176"/>
    <tableColumn id="5" xr3:uid="{00000000-0010-0000-0500-000005000000}" name="Q4" dataDxfId="175"/>
    <tableColumn id="6" xr3:uid="{00000000-0010-0000-0500-000006000000}" name="Total" dataDxfId="174"/>
    <tableColumn id="7" xr3:uid="{00000000-0010-0000-0500-000007000000}" name="%" dataDxfId="173" dataCellStyle="Percent">
      <calculatedColumnFormula>F68/F$73</calculatedColumnFormula>
    </tableColumn>
  </tableColumns>
  <tableStyleInfo name="TableStyleMedium1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6000000}" name="Table1" displayName="Table1" ref="A43:G47" totalsRowShown="0" headerRowDxfId="172" headerRowBorderDxfId="171" tableBorderDxfId="170">
  <tableColumns count="7">
    <tableColumn id="1" xr3:uid="{00000000-0010-0000-0600-000001000000}" name="Sex"/>
    <tableColumn id="2" xr3:uid="{00000000-0010-0000-0600-000002000000}" name="Q1"/>
    <tableColumn id="3" xr3:uid="{00000000-0010-0000-0600-000003000000}" name="Q2"/>
    <tableColumn id="4" xr3:uid="{00000000-0010-0000-0600-000004000000}" name="Q3"/>
    <tableColumn id="5" xr3:uid="{00000000-0010-0000-0600-000005000000}" name="Q4"/>
    <tableColumn id="6" xr3:uid="{00000000-0010-0000-0600-000006000000}" name="Total"/>
    <tableColumn id="7" xr3:uid="{00000000-0010-0000-0600-000007000000}" name="%"/>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1611" displayName="Table1611" ref="A2:G39" totalsRowShown="0" headerRowDxfId="169" dataDxfId="167" headerRowBorderDxfId="168" tableBorderDxfId="166">
  <tableColumns count="7">
    <tableColumn id="1" xr3:uid="{00000000-0010-0000-0700-000001000000}" name="Group A Offenses"/>
    <tableColumn id="2" xr3:uid="{00000000-0010-0000-0700-000002000000}" name="Q1" dataDxfId="165"/>
    <tableColumn id="3" xr3:uid="{00000000-0010-0000-0700-000003000000}" name="Q2" dataDxfId="164"/>
    <tableColumn id="4" xr3:uid="{00000000-0010-0000-0700-000004000000}" name="Q3" dataDxfId="163"/>
    <tableColumn id="5" xr3:uid="{00000000-0010-0000-0700-000005000000}" name="Q4" dataDxfId="162"/>
    <tableColumn id="6" xr3:uid="{00000000-0010-0000-0700-000006000000}" name="Total" dataDxfId="161"/>
    <tableColumn id="7" xr3:uid="{00000000-0010-0000-0700-000007000000}" name="%" dataDxfId="160" dataCellStyle="Percent"/>
  </tableColumns>
  <tableStyleInfo name="TableStyleMedium10"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21312" displayName="Table21312" ref="A49:G56" totalsRowShown="0" headerRowDxfId="159" dataDxfId="157" headerRowBorderDxfId="158" tableBorderDxfId="156">
  <tableColumns count="7">
    <tableColumn id="1" xr3:uid="{00000000-0010-0000-0800-000001000000}" name="Race"/>
    <tableColumn id="2" xr3:uid="{00000000-0010-0000-0800-000002000000}" name="Q1" dataDxfId="155"/>
    <tableColumn id="3" xr3:uid="{00000000-0010-0000-0800-000003000000}" name="Q2" dataDxfId="154"/>
    <tableColumn id="4" xr3:uid="{00000000-0010-0000-0800-000004000000}" name="Q3" dataDxfId="153"/>
    <tableColumn id="5" xr3:uid="{00000000-0010-0000-0800-000005000000}" name="Q4" dataDxfId="152"/>
    <tableColumn id="6" xr3:uid="{00000000-0010-0000-0800-000006000000}" name="Total" dataDxfId="151"/>
    <tableColumn id="7" xr3:uid="{00000000-0010-0000-0800-000007000000}" name="%" dataDxfId="150" dataCellStyle="Percent"/>
  </tableColumns>
  <tableStyleInfo name="TableStyleMedium1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3" Type="http://schemas.openxmlformats.org/officeDocument/2006/relationships/table" Target="../tables/table8.xml"/><Relationship Id="rId7" Type="http://schemas.openxmlformats.org/officeDocument/2006/relationships/table" Target="../tables/table12.xml"/><Relationship Id="rId2" Type="http://schemas.openxmlformats.org/officeDocument/2006/relationships/table" Target="../tables/table7.xml"/><Relationship Id="rId1" Type="http://schemas.openxmlformats.org/officeDocument/2006/relationships/printerSettings" Target="../printerSettings/printerSettings2.bin"/><Relationship Id="rId6" Type="http://schemas.openxmlformats.org/officeDocument/2006/relationships/table" Target="../tables/table11.xml"/><Relationship Id="rId5" Type="http://schemas.openxmlformats.org/officeDocument/2006/relationships/table" Target="../tables/table10.xml"/><Relationship Id="rId4" Type="http://schemas.openxmlformats.org/officeDocument/2006/relationships/table" Target="../tables/table9.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4.xml"/><Relationship Id="rId7" Type="http://schemas.openxmlformats.org/officeDocument/2006/relationships/table" Target="../tables/table18.xml"/><Relationship Id="rId2" Type="http://schemas.openxmlformats.org/officeDocument/2006/relationships/table" Target="../tables/table13.xml"/><Relationship Id="rId1" Type="http://schemas.openxmlformats.org/officeDocument/2006/relationships/printerSettings" Target="../printerSettings/printerSettings3.bin"/><Relationship Id="rId6" Type="http://schemas.openxmlformats.org/officeDocument/2006/relationships/table" Target="../tables/table17.xml"/><Relationship Id="rId5" Type="http://schemas.openxmlformats.org/officeDocument/2006/relationships/table" Target="../tables/table16.xml"/><Relationship Id="rId4" Type="http://schemas.openxmlformats.org/officeDocument/2006/relationships/table" Target="../tables/table15.xml"/></Relationships>
</file>

<file path=xl/worksheets/_rels/sheet4.xml.rels><?xml version="1.0" encoding="UTF-8" standalone="yes"?>
<Relationships xmlns="http://schemas.openxmlformats.org/package/2006/relationships"><Relationship Id="rId8" Type="http://schemas.openxmlformats.org/officeDocument/2006/relationships/table" Target="../tables/table22.xml"/><Relationship Id="rId13" Type="http://schemas.openxmlformats.org/officeDocument/2006/relationships/table" Target="../tables/table27.xml"/><Relationship Id="rId3" Type="http://schemas.openxmlformats.org/officeDocument/2006/relationships/printerSettings" Target="../printerSettings/printerSettings4.bin"/><Relationship Id="rId7" Type="http://schemas.openxmlformats.org/officeDocument/2006/relationships/table" Target="../tables/table21.xml"/><Relationship Id="rId12" Type="http://schemas.openxmlformats.org/officeDocument/2006/relationships/table" Target="../tables/table26.xml"/><Relationship Id="rId2" Type="http://schemas.openxmlformats.org/officeDocument/2006/relationships/hyperlink" Target="https://www.cityofmadison.com/police/documents/sop/UseofForce.pdf" TargetMode="External"/><Relationship Id="rId1" Type="http://schemas.openxmlformats.org/officeDocument/2006/relationships/hyperlink" Target="https://www.cityofmadison.com/police/documents/sop/UseOfForceData.pdf" TargetMode="External"/><Relationship Id="rId6" Type="http://schemas.openxmlformats.org/officeDocument/2006/relationships/table" Target="../tables/table20.xml"/><Relationship Id="rId11" Type="http://schemas.openxmlformats.org/officeDocument/2006/relationships/table" Target="../tables/table25.xml"/><Relationship Id="rId5" Type="http://schemas.openxmlformats.org/officeDocument/2006/relationships/table" Target="../tables/table19.xml"/><Relationship Id="rId10" Type="http://schemas.openxmlformats.org/officeDocument/2006/relationships/table" Target="../tables/table24.xml"/><Relationship Id="rId4" Type="http://schemas.openxmlformats.org/officeDocument/2006/relationships/drawing" Target="../drawings/drawing1.xml"/><Relationship Id="rId9" Type="http://schemas.openxmlformats.org/officeDocument/2006/relationships/table" Target="../tables/table23.xml"/><Relationship Id="rId14" Type="http://schemas.openxmlformats.org/officeDocument/2006/relationships/table" Target="../tables/table2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7"/>
  <sheetViews>
    <sheetView tabSelected="1" workbookViewId="0">
      <selection activeCell="C145" sqref="C145:I145"/>
    </sheetView>
  </sheetViews>
  <sheetFormatPr defaultColWidth="9.140625" defaultRowHeight="15" x14ac:dyDescent="0.25"/>
  <cols>
    <col min="1" max="1" width="35.28515625" bestFit="1" customWidth="1"/>
  </cols>
  <sheetData>
    <row r="1" spans="1:7" ht="395.25" customHeight="1" x14ac:dyDescent="0.25">
      <c r="A1" s="66" t="s">
        <v>0</v>
      </c>
      <c r="B1" s="67"/>
      <c r="C1" s="67"/>
      <c r="D1" s="67"/>
      <c r="E1" s="67"/>
      <c r="F1" s="67"/>
      <c r="G1" s="68"/>
    </row>
    <row r="2" spans="1:7" x14ac:dyDescent="0.25">
      <c r="A2" s="69"/>
      <c r="B2" s="69"/>
      <c r="C2" s="69"/>
      <c r="D2" s="69"/>
      <c r="E2" s="69"/>
      <c r="F2" s="69"/>
      <c r="G2" s="69"/>
    </row>
    <row r="3" spans="1:7" ht="15.75" x14ac:dyDescent="0.25">
      <c r="A3" s="74" t="s">
        <v>1</v>
      </c>
      <c r="B3" s="74"/>
      <c r="C3" s="74"/>
      <c r="D3" s="74"/>
      <c r="E3" s="74"/>
      <c r="F3" s="74"/>
      <c r="G3" s="74"/>
    </row>
    <row r="4" spans="1:7" x14ac:dyDescent="0.25">
      <c r="A4" s="50" t="s">
        <v>2</v>
      </c>
      <c r="B4" s="1" t="s">
        <v>3</v>
      </c>
      <c r="C4" s="1" t="s">
        <v>4</v>
      </c>
      <c r="D4" s="1" t="s">
        <v>5</v>
      </c>
      <c r="E4" s="1" t="s">
        <v>6</v>
      </c>
      <c r="F4" s="1" t="s">
        <v>7</v>
      </c>
      <c r="G4" s="1" t="s">
        <v>8</v>
      </c>
    </row>
    <row r="5" spans="1:7" x14ac:dyDescent="0.25">
      <c r="A5" t="s">
        <v>9</v>
      </c>
      <c r="B5" s="1">
        <v>1</v>
      </c>
      <c r="C5" s="1">
        <v>7</v>
      </c>
      <c r="D5" s="1">
        <v>0</v>
      </c>
      <c r="E5" s="1">
        <v>1</v>
      </c>
      <c r="F5" s="1">
        <f t="shared" ref="F5" si="0">SUM(B5:E5)</f>
        <v>9</v>
      </c>
      <c r="G5" s="2">
        <f t="shared" ref="G5:G18" si="1">F5/$F$42</f>
        <v>3.3995618342524741E-4</v>
      </c>
    </row>
    <row r="6" spans="1:7" x14ac:dyDescent="0.25">
      <c r="A6" t="s">
        <v>10</v>
      </c>
      <c r="B6" s="1">
        <v>1</v>
      </c>
      <c r="C6" s="1">
        <v>2</v>
      </c>
      <c r="D6" s="1">
        <v>6</v>
      </c>
      <c r="E6" s="1">
        <v>1</v>
      </c>
      <c r="F6" s="1">
        <f t="shared" ref="F6:F29" si="2">SUM(B6:E6)</f>
        <v>10</v>
      </c>
      <c r="G6" s="2">
        <f t="shared" si="1"/>
        <v>3.7772909269471935E-4</v>
      </c>
    </row>
    <row r="7" spans="1:7" x14ac:dyDescent="0.25">
      <c r="A7" t="s">
        <v>11</v>
      </c>
      <c r="B7" s="1">
        <v>669</v>
      </c>
      <c r="C7" s="1">
        <v>634</v>
      </c>
      <c r="D7" s="1">
        <v>624</v>
      </c>
      <c r="E7" s="1">
        <v>546</v>
      </c>
      <c r="F7" s="1">
        <f t="shared" si="2"/>
        <v>2473</v>
      </c>
      <c r="G7" s="2">
        <f t="shared" si="1"/>
        <v>9.3412404623404097E-2</v>
      </c>
    </row>
    <row r="8" spans="1:7" x14ac:dyDescent="0.25">
      <c r="A8" t="s">
        <v>12</v>
      </c>
      <c r="B8" s="1">
        <v>0</v>
      </c>
      <c r="C8" s="1">
        <v>0</v>
      </c>
      <c r="D8" s="1">
        <v>0</v>
      </c>
      <c r="E8" s="1">
        <v>0</v>
      </c>
      <c r="F8" s="1">
        <f t="shared" si="2"/>
        <v>0</v>
      </c>
      <c r="G8" s="2">
        <f t="shared" si="1"/>
        <v>0</v>
      </c>
    </row>
    <row r="9" spans="1:7" x14ac:dyDescent="0.25">
      <c r="A9" t="s">
        <v>13</v>
      </c>
      <c r="B9" s="1">
        <v>133</v>
      </c>
      <c r="C9" s="1">
        <v>123</v>
      </c>
      <c r="D9" s="1">
        <v>131</v>
      </c>
      <c r="E9" s="1">
        <v>105</v>
      </c>
      <c r="F9" s="1">
        <f t="shared" si="2"/>
        <v>492</v>
      </c>
      <c r="G9" s="2">
        <f t="shared" si="1"/>
        <v>1.8584271360580194E-2</v>
      </c>
    </row>
    <row r="10" spans="1:7" x14ac:dyDescent="0.25">
      <c r="A10" t="s">
        <v>14</v>
      </c>
      <c r="B10" s="1">
        <v>32</v>
      </c>
      <c r="C10" s="1">
        <v>16</v>
      </c>
      <c r="D10" s="1">
        <v>18</v>
      </c>
      <c r="E10" s="1">
        <v>23</v>
      </c>
      <c r="F10" s="1">
        <f t="shared" si="2"/>
        <v>89</v>
      </c>
      <c r="G10" s="2">
        <f t="shared" si="1"/>
        <v>3.3617889249830022E-3</v>
      </c>
    </row>
    <row r="11" spans="1:7" x14ac:dyDescent="0.25">
      <c r="A11" t="s">
        <v>15</v>
      </c>
      <c r="B11" s="1">
        <v>307</v>
      </c>
      <c r="C11" s="1">
        <v>330</v>
      </c>
      <c r="D11" s="1">
        <v>349</v>
      </c>
      <c r="E11" s="1">
        <v>345</v>
      </c>
      <c r="F11" s="1">
        <f t="shared" si="2"/>
        <v>1331</v>
      </c>
      <c r="G11" s="2">
        <f t="shared" si="1"/>
        <v>5.0275742237667148E-2</v>
      </c>
    </row>
    <row r="12" spans="1:7" x14ac:dyDescent="0.25">
      <c r="A12" t="s">
        <v>16</v>
      </c>
      <c r="B12" s="1">
        <v>317</v>
      </c>
      <c r="C12" s="1">
        <v>281</v>
      </c>
      <c r="D12" s="1">
        <v>293</v>
      </c>
      <c r="E12" s="1">
        <v>259</v>
      </c>
      <c r="F12" s="1">
        <f t="shared" si="2"/>
        <v>1150</v>
      </c>
      <c r="G12" s="2">
        <f t="shared" si="1"/>
        <v>4.3438845659892728E-2</v>
      </c>
    </row>
    <row r="13" spans="1:7" x14ac:dyDescent="0.25">
      <c r="A13" t="s">
        <v>17</v>
      </c>
      <c r="B13" s="1">
        <v>7</v>
      </c>
      <c r="C13" s="1">
        <v>9</v>
      </c>
      <c r="D13" s="1">
        <v>9</v>
      </c>
      <c r="E13" s="1">
        <v>4</v>
      </c>
      <c r="F13" s="1">
        <f t="shared" si="2"/>
        <v>29</v>
      </c>
      <c r="G13" s="2">
        <f t="shared" si="1"/>
        <v>1.0954143688146861E-3</v>
      </c>
    </row>
    <row r="14" spans="1:7" x14ac:dyDescent="0.25">
      <c r="A14" t="s">
        <v>18</v>
      </c>
      <c r="B14" s="1">
        <v>9</v>
      </c>
      <c r="C14" s="1">
        <v>17</v>
      </c>
      <c r="D14" s="1">
        <v>21</v>
      </c>
      <c r="E14" s="1">
        <v>19</v>
      </c>
      <c r="F14" s="1">
        <f t="shared" si="2"/>
        <v>66</v>
      </c>
      <c r="G14" s="2">
        <f t="shared" si="1"/>
        <v>2.4930120117851477E-3</v>
      </c>
    </row>
    <row r="15" spans="1:7" x14ac:dyDescent="0.25">
      <c r="A15" t="s">
        <v>19</v>
      </c>
      <c r="B15" s="1">
        <v>322</v>
      </c>
      <c r="C15" s="1">
        <v>335</v>
      </c>
      <c r="D15" s="1">
        <v>296</v>
      </c>
      <c r="E15" s="1">
        <v>301</v>
      </c>
      <c r="F15" s="1">
        <f t="shared" si="2"/>
        <v>1254</v>
      </c>
      <c r="G15" s="2">
        <f t="shared" si="1"/>
        <v>4.7367228223917805E-2</v>
      </c>
    </row>
    <row r="16" spans="1:7" x14ac:dyDescent="0.25">
      <c r="A16" t="s">
        <v>20</v>
      </c>
      <c r="B16" s="1">
        <v>0</v>
      </c>
      <c r="C16" s="1">
        <v>0</v>
      </c>
      <c r="D16" s="1">
        <v>0</v>
      </c>
      <c r="E16" s="1">
        <v>0</v>
      </c>
      <c r="F16" s="1">
        <f t="shared" si="2"/>
        <v>0</v>
      </c>
      <c r="G16" s="2">
        <f t="shared" si="1"/>
        <v>0</v>
      </c>
    </row>
    <row r="17" spans="1:14" x14ac:dyDescent="0.25">
      <c r="A17" t="s">
        <v>21</v>
      </c>
      <c r="B17" s="1">
        <v>0</v>
      </c>
      <c r="C17" s="1">
        <v>2</v>
      </c>
      <c r="D17" s="1">
        <v>1</v>
      </c>
      <c r="E17" s="1">
        <v>3</v>
      </c>
      <c r="F17" s="1">
        <f t="shared" si="2"/>
        <v>6</v>
      </c>
      <c r="G17" s="2">
        <f t="shared" si="1"/>
        <v>2.2663745561683161E-4</v>
      </c>
    </row>
    <row r="18" spans="1:14" x14ac:dyDescent="0.25">
      <c r="A18" t="s">
        <v>22</v>
      </c>
      <c r="B18" s="1">
        <v>0</v>
      </c>
      <c r="C18" s="1">
        <v>0</v>
      </c>
      <c r="D18" s="1">
        <v>2</v>
      </c>
      <c r="E18" s="1">
        <v>2</v>
      </c>
      <c r="F18" s="1">
        <f t="shared" si="2"/>
        <v>4</v>
      </c>
      <c r="G18" s="2">
        <f t="shared" si="1"/>
        <v>1.5109163707788774E-4</v>
      </c>
    </row>
    <row r="19" spans="1:14" x14ac:dyDescent="0.25">
      <c r="A19" t="s">
        <v>23</v>
      </c>
      <c r="B19" s="1">
        <v>0</v>
      </c>
      <c r="C19" s="1">
        <v>0</v>
      </c>
      <c r="D19" s="1">
        <v>1</v>
      </c>
      <c r="E19" s="1">
        <v>2</v>
      </c>
      <c r="F19" s="1">
        <f t="shared" si="2"/>
        <v>3</v>
      </c>
      <c r="G19" s="2">
        <f t="shared" ref="G19:G29" si="3">F19/$F$42</f>
        <v>1.133187278084158E-4</v>
      </c>
    </row>
    <row r="20" spans="1:14" x14ac:dyDescent="0.25">
      <c r="A20" t="s">
        <v>24</v>
      </c>
      <c r="B20" s="1">
        <v>17</v>
      </c>
      <c r="C20" s="1">
        <v>21</v>
      </c>
      <c r="D20" s="1">
        <v>28</v>
      </c>
      <c r="E20" s="1">
        <v>29</v>
      </c>
      <c r="F20" s="1">
        <f t="shared" si="2"/>
        <v>95</v>
      </c>
      <c r="G20" s="2">
        <f t="shared" si="3"/>
        <v>3.5884263805998338E-3</v>
      </c>
    </row>
    <row r="21" spans="1:14" x14ac:dyDescent="0.25">
      <c r="A21" t="s">
        <v>25</v>
      </c>
      <c r="B21" s="1">
        <v>1139</v>
      </c>
      <c r="C21" s="1">
        <v>1161</v>
      </c>
      <c r="D21" s="1">
        <v>1443</v>
      </c>
      <c r="E21" s="1">
        <v>1272</v>
      </c>
      <c r="F21" s="1">
        <f t="shared" si="2"/>
        <v>5015</v>
      </c>
      <c r="G21" s="2">
        <f t="shared" si="3"/>
        <v>0.18943113998640176</v>
      </c>
    </row>
    <row r="22" spans="1:14" x14ac:dyDescent="0.25">
      <c r="A22" t="s">
        <v>26</v>
      </c>
      <c r="B22" s="1">
        <v>100</v>
      </c>
      <c r="C22" s="1">
        <v>91</v>
      </c>
      <c r="D22" s="1">
        <v>91</v>
      </c>
      <c r="E22" s="1">
        <v>100</v>
      </c>
      <c r="F22" s="1">
        <f t="shared" si="2"/>
        <v>382</v>
      </c>
      <c r="G22" s="2">
        <f t="shared" si="3"/>
        <v>1.442925134093828E-2</v>
      </c>
    </row>
    <row r="23" spans="1:14" x14ac:dyDescent="0.25">
      <c r="A23" t="s">
        <v>27</v>
      </c>
      <c r="B23" s="1">
        <v>6</v>
      </c>
      <c r="C23" s="1">
        <v>9</v>
      </c>
      <c r="D23" s="1">
        <v>11</v>
      </c>
      <c r="E23" s="1">
        <v>12</v>
      </c>
      <c r="F23" s="1">
        <f t="shared" si="2"/>
        <v>38</v>
      </c>
      <c r="G23" s="2">
        <f t="shared" si="3"/>
        <v>1.4353705522399335E-3</v>
      </c>
    </row>
    <row r="24" spans="1:14" x14ac:dyDescent="0.25">
      <c r="A24" t="s">
        <v>28</v>
      </c>
      <c r="B24" s="1">
        <v>0</v>
      </c>
      <c r="C24" s="1">
        <v>0</v>
      </c>
      <c r="D24" s="1">
        <v>1</v>
      </c>
      <c r="E24" s="1">
        <v>2</v>
      </c>
      <c r="F24" s="1">
        <f t="shared" si="2"/>
        <v>3</v>
      </c>
      <c r="G24" s="2">
        <f t="shared" si="3"/>
        <v>1.133187278084158E-4</v>
      </c>
    </row>
    <row r="25" spans="1:14" x14ac:dyDescent="0.25">
      <c r="A25" t="s">
        <v>29</v>
      </c>
      <c r="B25" s="1">
        <v>20</v>
      </c>
      <c r="C25" s="1">
        <v>25</v>
      </c>
      <c r="D25" s="1">
        <v>36</v>
      </c>
      <c r="E25" s="1">
        <v>27</v>
      </c>
      <c r="F25" s="1">
        <f t="shared" si="2"/>
        <v>108</v>
      </c>
      <c r="G25" s="2">
        <f t="shared" si="3"/>
        <v>4.0794742011029689E-3</v>
      </c>
    </row>
    <row r="26" spans="1:14" x14ac:dyDescent="0.25">
      <c r="A26" t="s">
        <v>30</v>
      </c>
      <c r="B26" s="1">
        <v>46</v>
      </c>
      <c r="C26" s="1">
        <v>54</v>
      </c>
      <c r="D26" s="1">
        <v>36</v>
      </c>
      <c r="E26" s="1">
        <v>31</v>
      </c>
      <c r="F26" s="1">
        <f t="shared" si="2"/>
        <v>167</v>
      </c>
      <c r="G26" s="2">
        <f t="shared" si="3"/>
        <v>6.3080758480018135E-3</v>
      </c>
    </row>
    <row r="27" spans="1:14" x14ac:dyDescent="0.25">
      <c r="A27" t="s">
        <v>31</v>
      </c>
      <c r="B27" s="1">
        <v>4</v>
      </c>
      <c r="C27" s="1">
        <v>1</v>
      </c>
      <c r="D27" s="1">
        <v>1</v>
      </c>
      <c r="E27" s="1">
        <v>1</v>
      </c>
      <c r="F27" s="1">
        <f t="shared" si="2"/>
        <v>7</v>
      </c>
      <c r="G27" s="2">
        <f t="shared" si="3"/>
        <v>2.6441036488630354E-4</v>
      </c>
    </row>
    <row r="28" spans="1:14" x14ac:dyDescent="0.25">
      <c r="A28" t="s">
        <v>32</v>
      </c>
      <c r="B28" s="1">
        <v>11</v>
      </c>
      <c r="C28" s="1">
        <v>5</v>
      </c>
      <c r="D28" s="1">
        <v>9</v>
      </c>
      <c r="E28" s="1">
        <v>7</v>
      </c>
      <c r="F28" s="1">
        <f t="shared" si="2"/>
        <v>32</v>
      </c>
      <c r="G28" s="2">
        <f t="shared" si="3"/>
        <v>1.2087330966231019E-3</v>
      </c>
    </row>
    <row r="29" spans="1:14" x14ac:dyDescent="0.25">
      <c r="A29" t="s">
        <v>33</v>
      </c>
      <c r="B29" s="1">
        <v>53</v>
      </c>
      <c r="C29" s="1">
        <v>87</v>
      </c>
      <c r="D29" s="1">
        <v>78</v>
      </c>
      <c r="E29" s="1">
        <v>62</v>
      </c>
      <c r="F29" s="1">
        <f t="shared" si="2"/>
        <v>280</v>
      </c>
      <c r="G29" s="2">
        <f t="shared" si="3"/>
        <v>1.0576414595452142E-2</v>
      </c>
    </row>
    <row r="30" spans="1:14" x14ac:dyDescent="0.25">
      <c r="A30" s="48" t="s">
        <v>34</v>
      </c>
      <c r="B30" s="49" t="s">
        <v>3</v>
      </c>
      <c r="C30" s="49" t="s">
        <v>4</v>
      </c>
      <c r="D30" s="49" t="s">
        <v>5</v>
      </c>
      <c r="E30" s="49" t="s">
        <v>6</v>
      </c>
      <c r="F30" s="49" t="s">
        <v>7</v>
      </c>
      <c r="G30" s="49" t="s">
        <v>8</v>
      </c>
    </row>
    <row r="31" spans="1:14" x14ac:dyDescent="0.25">
      <c r="A31" t="s">
        <v>35</v>
      </c>
      <c r="B31" s="1">
        <v>5</v>
      </c>
      <c r="C31" s="1">
        <v>2</v>
      </c>
      <c r="D31" s="1">
        <v>10</v>
      </c>
      <c r="E31" s="1">
        <v>5</v>
      </c>
      <c r="F31" s="1">
        <f t="shared" ref="F31" si="4">SUM(B31:E31)</f>
        <v>22</v>
      </c>
      <c r="G31" s="2">
        <f t="shared" ref="G31:G42" si="5">F31/$F$42</f>
        <v>8.3100400392838256E-4</v>
      </c>
      <c r="I31" s="1"/>
      <c r="J31" s="1"/>
      <c r="K31" s="1"/>
      <c r="L31" s="1"/>
      <c r="M31" s="1"/>
      <c r="N31" s="1"/>
    </row>
    <row r="32" spans="1:14" x14ac:dyDescent="0.25">
      <c r="A32" t="s">
        <v>36</v>
      </c>
      <c r="B32" s="1">
        <v>0</v>
      </c>
      <c r="C32" s="1">
        <v>0</v>
      </c>
      <c r="D32" s="1">
        <v>0</v>
      </c>
      <c r="E32" s="1">
        <v>0</v>
      </c>
      <c r="F32" s="1">
        <f t="shared" ref="F32:F41" si="6">SUM(B32:E32)</f>
        <v>0</v>
      </c>
      <c r="G32" s="2">
        <f t="shared" si="5"/>
        <v>0</v>
      </c>
      <c r="I32" s="1"/>
      <c r="J32" s="1"/>
      <c r="K32" s="1"/>
      <c r="L32" s="1"/>
      <c r="M32" s="1"/>
      <c r="N32" s="2"/>
    </row>
    <row r="33" spans="1:14" x14ac:dyDescent="0.25">
      <c r="A33" t="s">
        <v>37</v>
      </c>
      <c r="B33" s="1">
        <v>636</v>
      </c>
      <c r="C33" s="1">
        <v>727</v>
      </c>
      <c r="D33" s="1">
        <v>850</v>
      </c>
      <c r="E33" s="1">
        <v>822</v>
      </c>
      <c r="F33" s="1">
        <f t="shared" si="6"/>
        <v>3035</v>
      </c>
      <c r="G33" s="2">
        <f t="shared" si="5"/>
        <v>0.11464077963284733</v>
      </c>
      <c r="I33" s="1"/>
      <c r="J33" s="1"/>
      <c r="K33" s="1"/>
      <c r="L33" s="1"/>
      <c r="M33" s="1"/>
      <c r="N33" s="2"/>
    </row>
    <row r="34" spans="1:14" x14ac:dyDescent="0.25">
      <c r="A34" t="s">
        <v>38</v>
      </c>
      <c r="B34" s="1">
        <v>213</v>
      </c>
      <c r="C34" s="1">
        <v>227</v>
      </c>
      <c r="D34" s="1">
        <v>195</v>
      </c>
      <c r="E34" s="1">
        <v>217</v>
      </c>
      <c r="F34" s="1">
        <f t="shared" si="6"/>
        <v>852</v>
      </c>
      <c r="G34" s="2">
        <f t="shared" si="5"/>
        <v>3.218251869759009E-2</v>
      </c>
      <c r="I34" s="1"/>
      <c r="J34" s="1"/>
      <c r="K34" s="1"/>
      <c r="L34" s="1"/>
      <c r="M34" s="1"/>
      <c r="N34" s="2"/>
    </row>
    <row r="35" spans="1:14" x14ac:dyDescent="0.25">
      <c r="A35" t="s">
        <v>39</v>
      </c>
      <c r="B35" s="1">
        <v>0</v>
      </c>
      <c r="C35" s="1">
        <v>0</v>
      </c>
      <c r="D35" s="1">
        <v>0</v>
      </c>
      <c r="E35" s="1">
        <v>0</v>
      </c>
      <c r="F35" s="1">
        <f t="shared" si="6"/>
        <v>0</v>
      </c>
      <c r="G35" s="2">
        <f t="shared" si="5"/>
        <v>0</v>
      </c>
      <c r="I35" s="1"/>
      <c r="J35" s="1"/>
      <c r="K35" s="1"/>
      <c r="L35" s="1"/>
      <c r="M35" s="1"/>
      <c r="N35" s="2"/>
    </row>
    <row r="36" spans="1:14" x14ac:dyDescent="0.25">
      <c r="A36" t="s">
        <v>40</v>
      </c>
      <c r="B36" s="1">
        <v>30</v>
      </c>
      <c r="C36" s="1">
        <v>22</v>
      </c>
      <c r="D36" s="1">
        <v>22</v>
      </c>
      <c r="E36" s="1">
        <v>16</v>
      </c>
      <c r="F36" s="1">
        <f t="shared" si="6"/>
        <v>90</v>
      </c>
      <c r="G36" s="2">
        <f t="shared" si="5"/>
        <v>3.3995618342524741E-3</v>
      </c>
      <c r="I36" s="1"/>
      <c r="J36" s="1"/>
      <c r="K36" s="1"/>
      <c r="L36" s="1"/>
      <c r="M36" s="1"/>
      <c r="N36" s="1"/>
    </row>
    <row r="37" spans="1:14" x14ac:dyDescent="0.25">
      <c r="A37" t="s">
        <v>41</v>
      </c>
      <c r="B37" s="1">
        <v>61</v>
      </c>
      <c r="C37" s="1">
        <v>66</v>
      </c>
      <c r="D37" s="1">
        <v>32</v>
      </c>
      <c r="E37" s="1">
        <v>46</v>
      </c>
      <c r="F37" s="1">
        <f t="shared" si="6"/>
        <v>205</v>
      </c>
      <c r="G37" s="2">
        <f t="shared" si="5"/>
        <v>7.743446400241747E-3</v>
      </c>
      <c r="I37" s="1"/>
      <c r="J37" s="1"/>
      <c r="K37" s="1"/>
      <c r="L37" s="1"/>
      <c r="M37" s="1"/>
      <c r="N37" s="2"/>
    </row>
    <row r="38" spans="1:14" x14ac:dyDescent="0.25">
      <c r="A38" t="s">
        <v>42</v>
      </c>
      <c r="B38" s="1">
        <v>0</v>
      </c>
      <c r="C38" s="1">
        <v>0</v>
      </c>
      <c r="D38" s="1">
        <v>0</v>
      </c>
      <c r="E38" s="1">
        <v>0</v>
      </c>
      <c r="F38" s="1">
        <f t="shared" si="6"/>
        <v>0</v>
      </c>
      <c r="G38" s="2">
        <f t="shared" si="5"/>
        <v>0</v>
      </c>
      <c r="I38" s="1"/>
      <c r="J38" s="1"/>
      <c r="K38" s="1"/>
      <c r="L38" s="1"/>
      <c r="M38" s="1"/>
      <c r="N38" s="2"/>
    </row>
    <row r="39" spans="1:14" x14ac:dyDescent="0.25">
      <c r="A39" t="s">
        <v>43</v>
      </c>
      <c r="B39" s="1">
        <v>0</v>
      </c>
      <c r="C39" s="1">
        <v>0</v>
      </c>
      <c r="D39" s="1">
        <v>0</v>
      </c>
      <c r="E39" s="1">
        <v>0</v>
      </c>
      <c r="F39" s="1">
        <f t="shared" si="6"/>
        <v>0</v>
      </c>
      <c r="G39" s="2">
        <f t="shared" si="5"/>
        <v>0</v>
      </c>
      <c r="I39" s="1"/>
      <c r="J39" s="1"/>
      <c r="K39" s="1"/>
      <c r="L39" s="1"/>
      <c r="M39" s="1"/>
      <c r="N39" s="2"/>
    </row>
    <row r="40" spans="1:14" x14ac:dyDescent="0.25">
      <c r="A40" t="s">
        <v>44</v>
      </c>
      <c r="B40" s="1">
        <v>231</v>
      </c>
      <c r="C40" s="1">
        <v>188</v>
      </c>
      <c r="D40" s="1">
        <v>208</v>
      </c>
      <c r="E40" s="1">
        <v>244</v>
      </c>
      <c r="F40" s="1">
        <f t="shared" si="6"/>
        <v>871</v>
      </c>
      <c r="G40" s="2">
        <f t="shared" si="5"/>
        <v>3.2900203973710053E-2</v>
      </c>
      <c r="I40" s="1"/>
      <c r="J40" s="1"/>
      <c r="K40" s="1"/>
      <c r="L40" s="1"/>
      <c r="M40" s="1"/>
      <c r="N40" s="2"/>
    </row>
    <row r="41" spans="1:14" x14ac:dyDescent="0.25">
      <c r="A41" t="s">
        <v>45</v>
      </c>
      <c r="B41" s="1">
        <v>2161</v>
      </c>
      <c r="C41" s="1">
        <v>2130</v>
      </c>
      <c r="D41" s="1">
        <v>2090</v>
      </c>
      <c r="E41" s="1">
        <v>1975</v>
      </c>
      <c r="F41" s="1">
        <f t="shared" si="6"/>
        <v>8356</v>
      </c>
      <c r="G41" s="2">
        <f t="shared" si="5"/>
        <v>0.31563042985570749</v>
      </c>
      <c r="I41" s="1"/>
      <c r="J41" s="1"/>
      <c r="K41" s="1"/>
      <c r="L41" s="1"/>
      <c r="M41" s="1"/>
      <c r="N41" s="2"/>
    </row>
    <row r="42" spans="1:14" x14ac:dyDescent="0.25">
      <c r="A42" s="14" t="s">
        <v>7</v>
      </c>
      <c r="B42" s="15">
        <f>SUBTOTAL(109,B5:B29,B31:B41)</f>
        <v>6531</v>
      </c>
      <c r="C42" s="15">
        <f t="shared" ref="C42:F42" si="7">SUBTOTAL(109,C5:C29,C31:C41)</f>
        <v>6572</v>
      </c>
      <c r="D42" s="15">
        <f t="shared" si="7"/>
        <v>6892</v>
      </c>
      <c r="E42" s="15">
        <f t="shared" si="7"/>
        <v>6479</v>
      </c>
      <c r="F42" s="15">
        <f t="shared" si="7"/>
        <v>26474</v>
      </c>
      <c r="G42" s="16">
        <f t="shared" si="5"/>
        <v>1</v>
      </c>
      <c r="I42" s="1"/>
      <c r="J42" s="1"/>
      <c r="K42" s="1"/>
      <c r="L42" s="1"/>
      <c r="M42" s="1"/>
      <c r="N42" s="2"/>
    </row>
    <row r="43" spans="1:14" ht="49.5" customHeight="1" x14ac:dyDescent="0.25">
      <c r="A43" s="75" t="s">
        <v>46</v>
      </c>
      <c r="B43" s="76"/>
      <c r="C43" s="76"/>
      <c r="D43" s="76"/>
      <c r="E43" s="76"/>
      <c r="F43" s="76"/>
      <c r="G43" s="77"/>
    </row>
    <row r="44" spans="1:14" x14ac:dyDescent="0.25">
      <c r="A44" s="78"/>
      <c r="B44" s="78"/>
      <c r="C44" s="78"/>
      <c r="D44" s="78"/>
      <c r="E44" s="78"/>
      <c r="F44" s="78"/>
      <c r="G44" s="78"/>
    </row>
    <row r="45" spans="1:14" x14ac:dyDescent="0.25">
      <c r="A45" t="s">
        <v>47</v>
      </c>
      <c r="B45" s="1" t="s">
        <v>3</v>
      </c>
      <c r="C45" s="1" t="s">
        <v>4</v>
      </c>
      <c r="D45" s="1" t="s">
        <v>5</v>
      </c>
      <c r="E45" s="1" t="s">
        <v>6</v>
      </c>
      <c r="F45" s="1" t="s">
        <v>7</v>
      </c>
      <c r="G45" s="1" t="s">
        <v>8</v>
      </c>
    </row>
    <row r="46" spans="1:14" x14ac:dyDescent="0.25">
      <c r="A46" t="s">
        <v>48</v>
      </c>
      <c r="B46" s="1">
        <v>1713</v>
      </c>
      <c r="C46" s="1">
        <v>1696</v>
      </c>
      <c r="D46" s="1">
        <v>1734</v>
      </c>
      <c r="E46" s="1">
        <v>1646</v>
      </c>
      <c r="F46" s="1">
        <f>SUM(B46:E46)</f>
        <v>6789</v>
      </c>
      <c r="G46" s="2">
        <f>F46/$F$49</f>
        <v>0.67431466030989273</v>
      </c>
    </row>
    <row r="47" spans="1:14" x14ac:dyDescent="0.25">
      <c r="A47" t="s">
        <v>49</v>
      </c>
      <c r="B47" s="1">
        <v>813</v>
      </c>
      <c r="C47" s="1">
        <v>824</v>
      </c>
      <c r="D47" s="1">
        <v>806</v>
      </c>
      <c r="E47" s="1">
        <v>807</v>
      </c>
      <c r="F47" s="1">
        <f t="shared" ref="F47:F48" si="8">SUM(B47:E47)</f>
        <v>3250</v>
      </c>
      <c r="G47" s="2">
        <f>F47/$F$49</f>
        <v>0.32280492649980136</v>
      </c>
    </row>
    <row r="48" spans="1:14" x14ac:dyDescent="0.25">
      <c r="A48" t="s">
        <v>50</v>
      </c>
      <c r="B48" s="1">
        <v>6</v>
      </c>
      <c r="C48" s="1">
        <v>10</v>
      </c>
      <c r="D48" s="1">
        <v>4</v>
      </c>
      <c r="E48" s="1">
        <v>9</v>
      </c>
      <c r="F48" s="1">
        <f t="shared" si="8"/>
        <v>29</v>
      </c>
      <c r="G48" s="2">
        <f>F48/$F$49</f>
        <v>2.8804131903059195E-3</v>
      </c>
    </row>
    <row r="49" spans="1:7" x14ac:dyDescent="0.25">
      <c r="A49" s="14" t="s">
        <v>7</v>
      </c>
      <c r="B49" s="15">
        <f>SUM(B46:B48)</f>
        <v>2532</v>
      </c>
      <c r="C49" s="15">
        <f t="shared" ref="C49:F49" si="9">SUM(C46:C48)</f>
        <v>2530</v>
      </c>
      <c r="D49" s="15">
        <f t="shared" si="9"/>
        <v>2544</v>
      </c>
      <c r="E49" s="15">
        <f t="shared" si="9"/>
        <v>2462</v>
      </c>
      <c r="F49" s="15">
        <f t="shared" si="9"/>
        <v>10068</v>
      </c>
      <c r="G49" s="16">
        <f>SUBTOTAL(109,G46:G48)</f>
        <v>1</v>
      </c>
    </row>
    <row r="50" spans="1:7" x14ac:dyDescent="0.25">
      <c r="A50" s="78"/>
      <c r="B50" s="78"/>
      <c r="C50" s="78"/>
      <c r="D50" s="78"/>
      <c r="E50" s="78"/>
      <c r="F50" s="78"/>
      <c r="G50" s="78"/>
    </row>
    <row r="51" spans="1:7" x14ac:dyDescent="0.25">
      <c r="A51" t="s">
        <v>51</v>
      </c>
      <c r="B51" s="1" t="s">
        <v>3</v>
      </c>
      <c r="C51" s="1" t="s">
        <v>4</v>
      </c>
      <c r="D51" s="1" t="s">
        <v>5</v>
      </c>
      <c r="E51" s="1" t="s">
        <v>6</v>
      </c>
      <c r="F51" s="1" t="s">
        <v>7</v>
      </c>
      <c r="G51" s="1" t="s">
        <v>8</v>
      </c>
    </row>
    <row r="52" spans="1:7" x14ac:dyDescent="0.25">
      <c r="A52" t="s">
        <v>52</v>
      </c>
      <c r="B52" s="1">
        <v>69</v>
      </c>
      <c r="C52" s="1">
        <v>51</v>
      </c>
      <c r="D52" s="1">
        <v>50</v>
      </c>
      <c r="E52" s="1">
        <v>55</v>
      </c>
      <c r="F52" s="1">
        <f>SUM(B52:E52)</f>
        <v>225</v>
      </c>
      <c r="G52" s="2">
        <f>F52/$F$57</f>
        <v>2.234803337306317E-2</v>
      </c>
    </row>
    <row r="53" spans="1:7" x14ac:dyDescent="0.25">
      <c r="A53" t="s">
        <v>53</v>
      </c>
      <c r="B53" s="1">
        <v>955</v>
      </c>
      <c r="C53" s="1">
        <v>1049</v>
      </c>
      <c r="D53" s="1">
        <v>1091</v>
      </c>
      <c r="E53" s="1">
        <v>1032</v>
      </c>
      <c r="F53" s="1">
        <f t="shared" ref="F53:F58" si="10">SUM(B53:E53)</f>
        <v>4127</v>
      </c>
      <c r="G53" s="2">
        <f>F53/$F$57</f>
        <v>0.40991259435836314</v>
      </c>
    </row>
    <row r="54" spans="1:7" x14ac:dyDescent="0.25">
      <c r="A54" t="s">
        <v>54</v>
      </c>
      <c r="B54" s="1">
        <v>11</v>
      </c>
      <c r="C54" s="1">
        <v>10</v>
      </c>
      <c r="D54" s="1">
        <v>10</v>
      </c>
      <c r="E54" s="1">
        <v>23</v>
      </c>
      <c r="F54" s="1">
        <f t="shared" si="10"/>
        <v>54</v>
      </c>
      <c r="G54" s="2">
        <f>F54/$F$57</f>
        <v>5.3635280095351611E-3</v>
      </c>
    </row>
    <row r="55" spans="1:7" x14ac:dyDescent="0.25">
      <c r="A55" t="s">
        <v>55</v>
      </c>
      <c r="B55" s="1">
        <f>89+13</f>
        <v>102</v>
      </c>
      <c r="C55" s="1">
        <f>89+14</f>
        <v>103</v>
      </c>
      <c r="D55" s="1">
        <f>83+1+11</f>
        <v>95</v>
      </c>
      <c r="E55" s="1">
        <f>88+13</f>
        <v>101</v>
      </c>
      <c r="F55" s="1">
        <f t="shared" si="10"/>
        <v>401</v>
      </c>
      <c r="G55" s="2">
        <f>F55/$F$57</f>
        <v>3.982916170043703E-2</v>
      </c>
    </row>
    <row r="56" spans="1:7" x14ac:dyDescent="0.25">
      <c r="A56" t="s">
        <v>56</v>
      </c>
      <c r="B56" s="1">
        <v>1395</v>
      </c>
      <c r="C56" s="1">
        <v>1317</v>
      </c>
      <c r="D56" s="1">
        <v>1298</v>
      </c>
      <c r="E56" s="1">
        <v>1251</v>
      </c>
      <c r="F56" s="1">
        <f t="shared" si="10"/>
        <v>5261</v>
      </c>
      <c r="G56" s="2">
        <f>F56/$F$57</f>
        <v>0.52254668255860148</v>
      </c>
    </row>
    <row r="57" spans="1:7" x14ac:dyDescent="0.25">
      <c r="A57" s="14" t="s">
        <v>7</v>
      </c>
      <c r="B57" s="15">
        <f>SUM(B52:B56)</f>
        <v>2532</v>
      </c>
      <c r="C57" s="15">
        <f t="shared" ref="C57:F57" si="11">SUM(C52:C56)</f>
        <v>2530</v>
      </c>
      <c r="D57" s="15">
        <f t="shared" si="11"/>
        <v>2544</v>
      </c>
      <c r="E57" s="15">
        <f t="shared" si="11"/>
        <v>2462</v>
      </c>
      <c r="F57" s="15">
        <f t="shared" si="11"/>
        <v>10068</v>
      </c>
      <c r="G57" s="16">
        <f>SUBTOTAL(109,G52:G56)</f>
        <v>1</v>
      </c>
    </row>
    <row r="58" spans="1:7" x14ac:dyDescent="0.25">
      <c r="A58" t="s">
        <v>57</v>
      </c>
      <c r="B58" s="1">
        <v>249</v>
      </c>
      <c r="C58" s="1">
        <v>232</v>
      </c>
      <c r="D58" s="1">
        <v>265</v>
      </c>
      <c r="E58" s="1">
        <v>258</v>
      </c>
      <c r="F58" s="1">
        <f t="shared" si="10"/>
        <v>1004</v>
      </c>
      <c r="G58" s="60"/>
    </row>
    <row r="59" spans="1:7" ht="62.25" customHeight="1" x14ac:dyDescent="0.25">
      <c r="A59" s="79" t="s">
        <v>58</v>
      </c>
      <c r="B59" s="79"/>
      <c r="C59" s="79"/>
      <c r="D59" s="79"/>
      <c r="E59" s="79"/>
      <c r="F59" s="79"/>
      <c r="G59" s="79"/>
    </row>
    <row r="60" spans="1:7" x14ac:dyDescent="0.25">
      <c r="A60" s="78"/>
      <c r="B60" s="78"/>
      <c r="C60" s="78"/>
      <c r="D60" s="78"/>
      <c r="E60" s="78"/>
      <c r="F60" s="78"/>
      <c r="G60" s="78"/>
    </row>
    <row r="61" spans="1:7" x14ac:dyDescent="0.25">
      <c r="A61" t="s">
        <v>59</v>
      </c>
      <c r="B61" s="1" t="s">
        <v>3</v>
      </c>
      <c r="C61" s="1" t="s">
        <v>4</v>
      </c>
      <c r="D61" s="1" t="s">
        <v>5</v>
      </c>
      <c r="E61" s="1" t="s">
        <v>6</v>
      </c>
      <c r="F61" s="1" t="s">
        <v>7</v>
      </c>
      <c r="G61" s="1" t="s">
        <v>8</v>
      </c>
    </row>
    <row r="62" spans="1:7" x14ac:dyDescent="0.25">
      <c r="A62" t="s">
        <v>48</v>
      </c>
      <c r="B62" s="1">
        <v>980</v>
      </c>
      <c r="C62" s="1">
        <v>1068</v>
      </c>
      <c r="D62" s="1">
        <v>1214</v>
      </c>
      <c r="E62" s="1">
        <v>1116</v>
      </c>
      <c r="F62" s="1">
        <f>SUM(B62:E62)</f>
        <v>4378</v>
      </c>
      <c r="G62" s="2">
        <f t="shared" ref="G62:G65" si="12">F62/$F$65</f>
        <v>0.47065147280154807</v>
      </c>
    </row>
    <row r="63" spans="1:7" x14ac:dyDescent="0.25">
      <c r="A63" t="s">
        <v>49</v>
      </c>
      <c r="B63" s="1">
        <v>1080</v>
      </c>
      <c r="C63" s="1">
        <v>1233</v>
      </c>
      <c r="D63" s="1">
        <v>1337</v>
      </c>
      <c r="E63" s="1">
        <v>1257</v>
      </c>
      <c r="F63" s="1">
        <f t="shared" ref="F63:F64" si="13">SUM(B63:E63)</f>
        <v>4907</v>
      </c>
      <c r="G63" s="2">
        <f t="shared" si="12"/>
        <v>0.52752096323371322</v>
      </c>
    </row>
    <row r="64" spans="1:7" x14ac:dyDescent="0.25">
      <c r="A64" t="s">
        <v>50</v>
      </c>
      <c r="B64" s="1">
        <v>2</v>
      </c>
      <c r="C64" s="1">
        <v>8</v>
      </c>
      <c r="D64" s="1">
        <v>4</v>
      </c>
      <c r="E64" s="1">
        <v>3</v>
      </c>
      <c r="F64" s="1">
        <f t="shared" si="13"/>
        <v>17</v>
      </c>
      <c r="G64" s="2">
        <f t="shared" si="12"/>
        <v>1.8275639647387658E-3</v>
      </c>
    </row>
    <row r="65" spans="1:24" x14ac:dyDescent="0.25">
      <c r="A65" s="14" t="s">
        <v>7</v>
      </c>
      <c r="B65" s="15">
        <f>SUM(B62:B64)</f>
        <v>2062</v>
      </c>
      <c r="C65" s="15">
        <f t="shared" ref="C65:F65" si="14">SUM(C62:C64)</f>
        <v>2309</v>
      </c>
      <c r="D65" s="15">
        <f t="shared" si="14"/>
        <v>2555</v>
      </c>
      <c r="E65" s="15">
        <f t="shared" si="14"/>
        <v>2376</v>
      </c>
      <c r="F65" s="15">
        <f t="shared" si="14"/>
        <v>9302</v>
      </c>
      <c r="G65" s="16">
        <f t="shared" si="12"/>
        <v>1</v>
      </c>
    </row>
    <row r="66" spans="1:24" x14ac:dyDescent="0.25">
      <c r="A66" s="78"/>
      <c r="B66" s="78"/>
      <c r="C66" s="78"/>
      <c r="D66" s="78"/>
      <c r="E66" s="78"/>
      <c r="F66" s="78"/>
      <c r="G66" s="78"/>
    </row>
    <row r="67" spans="1:24" x14ac:dyDescent="0.25">
      <c r="A67" t="s">
        <v>60</v>
      </c>
      <c r="B67" s="1" t="s">
        <v>3</v>
      </c>
      <c r="C67" s="1" t="s">
        <v>4</v>
      </c>
      <c r="D67" s="1" t="s">
        <v>5</v>
      </c>
      <c r="E67" s="1" t="s">
        <v>6</v>
      </c>
      <c r="F67" s="1" t="s">
        <v>7</v>
      </c>
      <c r="G67" s="1" t="s">
        <v>8</v>
      </c>
    </row>
    <row r="68" spans="1:24" x14ac:dyDescent="0.25">
      <c r="A68" t="s">
        <v>52</v>
      </c>
      <c r="B68" s="1">
        <v>88</v>
      </c>
      <c r="C68" s="1">
        <v>95</v>
      </c>
      <c r="D68" s="1">
        <v>107</v>
      </c>
      <c r="E68" s="1">
        <v>105</v>
      </c>
      <c r="F68" s="1">
        <f>SUM(B68:E68)</f>
        <v>395</v>
      </c>
      <c r="G68" s="2">
        <f t="shared" ref="G68:G74" si="15">F68/F$73</f>
        <v>4.2463986239518386E-2</v>
      </c>
    </row>
    <row r="69" spans="1:24" x14ac:dyDescent="0.25">
      <c r="A69" t="s">
        <v>53</v>
      </c>
      <c r="B69" s="1">
        <v>428</v>
      </c>
      <c r="C69" s="1">
        <v>529</v>
      </c>
      <c r="D69" s="1">
        <v>584</v>
      </c>
      <c r="E69" s="1">
        <v>570</v>
      </c>
      <c r="F69" s="1">
        <f t="shared" ref="F69:F74" si="16">SUM(B69:E69)</f>
        <v>2111</v>
      </c>
      <c r="G69" s="2">
        <f t="shared" si="15"/>
        <v>0.22694044291550206</v>
      </c>
      <c r="H69" s="5"/>
      <c r="I69" s="5"/>
      <c r="J69" s="5"/>
      <c r="K69" s="5"/>
      <c r="L69" s="5"/>
      <c r="M69" s="5"/>
      <c r="N69" s="5"/>
      <c r="O69" s="5"/>
      <c r="P69" s="5"/>
      <c r="Q69" s="5"/>
      <c r="R69" s="5"/>
      <c r="S69" s="5"/>
      <c r="T69" s="5"/>
      <c r="U69" s="5"/>
      <c r="V69" s="5"/>
      <c r="W69" s="5"/>
      <c r="X69" s="5"/>
    </row>
    <row r="70" spans="1:24" x14ac:dyDescent="0.25">
      <c r="A70" t="s">
        <v>54</v>
      </c>
      <c r="B70" s="1">
        <v>11</v>
      </c>
      <c r="C70" s="1">
        <v>6</v>
      </c>
      <c r="D70" s="1">
        <v>11</v>
      </c>
      <c r="E70" s="1">
        <v>11</v>
      </c>
      <c r="F70" s="1">
        <f t="shared" si="16"/>
        <v>39</v>
      </c>
      <c r="G70" s="2">
        <f t="shared" si="15"/>
        <v>4.1926467426359922E-3</v>
      </c>
    </row>
    <row r="71" spans="1:24" x14ac:dyDescent="0.25">
      <c r="A71" t="s">
        <v>55</v>
      </c>
      <c r="B71" s="1">
        <f>21+2+229+1</f>
        <v>253</v>
      </c>
      <c r="C71" s="1">
        <f>252+13</f>
        <v>265</v>
      </c>
      <c r="D71" s="1">
        <f>300+1+15</f>
        <v>316</v>
      </c>
      <c r="E71" s="1">
        <f>4+264+15</f>
        <v>283</v>
      </c>
      <c r="F71" s="1">
        <f t="shared" si="16"/>
        <v>1117</v>
      </c>
      <c r="G71" s="2">
        <f t="shared" si="15"/>
        <v>0.12008170285960008</v>
      </c>
    </row>
    <row r="72" spans="1:24" x14ac:dyDescent="0.25">
      <c r="A72" t="s">
        <v>56</v>
      </c>
      <c r="B72" s="1">
        <v>1282</v>
      </c>
      <c r="C72" s="1">
        <v>1414</v>
      </c>
      <c r="D72" s="1">
        <v>1537</v>
      </c>
      <c r="E72" s="1">
        <v>1407</v>
      </c>
      <c r="F72" s="1">
        <f t="shared" si="16"/>
        <v>5640</v>
      </c>
      <c r="G72" s="2">
        <f t="shared" si="15"/>
        <v>0.60632122124274346</v>
      </c>
    </row>
    <row r="73" spans="1:24" x14ac:dyDescent="0.25">
      <c r="A73" s="14" t="s">
        <v>7</v>
      </c>
      <c r="B73" s="15">
        <f>SUM(B68:B72)</f>
        <v>2062</v>
      </c>
      <c r="C73" s="15">
        <f t="shared" ref="C73:F73" si="17">SUM(C68:C72)</f>
        <v>2309</v>
      </c>
      <c r="D73" s="15">
        <f t="shared" si="17"/>
        <v>2555</v>
      </c>
      <c r="E73" s="15">
        <f t="shared" si="17"/>
        <v>2376</v>
      </c>
      <c r="F73" s="15">
        <f t="shared" si="17"/>
        <v>9302</v>
      </c>
      <c r="G73" s="16">
        <f t="shared" si="15"/>
        <v>1</v>
      </c>
    </row>
    <row r="74" spans="1:24" x14ac:dyDescent="0.25">
      <c r="A74" t="s">
        <v>57</v>
      </c>
      <c r="B74" s="1">
        <v>222</v>
      </c>
      <c r="C74" s="1">
        <v>227</v>
      </c>
      <c r="D74" s="1">
        <v>282</v>
      </c>
      <c r="E74" s="1">
        <v>255</v>
      </c>
      <c r="F74" s="1">
        <f t="shared" si="16"/>
        <v>986</v>
      </c>
      <c r="G74" s="47">
        <f t="shared" si="15"/>
        <v>0.10599870995484842</v>
      </c>
    </row>
    <row r="75" spans="1:24" ht="60.75" customHeight="1" x14ac:dyDescent="0.25">
      <c r="A75" s="79" t="s">
        <v>58</v>
      </c>
      <c r="B75" s="79"/>
      <c r="C75" s="79"/>
      <c r="D75" s="79"/>
      <c r="E75" s="79"/>
      <c r="F75" s="79"/>
      <c r="G75" s="79"/>
    </row>
    <row r="76" spans="1:24" x14ac:dyDescent="0.25">
      <c r="A76" s="78"/>
      <c r="B76" s="78"/>
      <c r="C76" s="78"/>
      <c r="D76" s="78"/>
      <c r="E76" s="78"/>
      <c r="F76" s="78"/>
      <c r="G76" s="78"/>
    </row>
    <row r="77" spans="1:24" x14ac:dyDescent="0.25">
      <c r="A77" t="s">
        <v>61</v>
      </c>
      <c r="B77" s="1" t="s">
        <v>3</v>
      </c>
      <c r="C77" s="1" t="s">
        <v>4</v>
      </c>
      <c r="D77" s="1" t="s">
        <v>5</v>
      </c>
      <c r="E77" s="1" t="s">
        <v>6</v>
      </c>
      <c r="F77" s="1" t="s">
        <v>7</v>
      </c>
      <c r="G77" s="1" t="s">
        <v>8</v>
      </c>
    </row>
    <row r="78" spans="1:24" x14ac:dyDescent="0.25">
      <c r="A78" t="s">
        <v>62</v>
      </c>
      <c r="B78" s="1">
        <v>954</v>
      </c>
      <c r="C78" s="1">
        <v>929</v>
      </c>
      <c r="D78" s="1">
        <v>991</v>
      </c>
      <c r="E78" s="1">
        <v>923</v>
      </c>
      <c r="F78" s="1">
        <f>SUM(B78:E78)</f>
        <v>3797</v>
      </c>
      <c r="G78" s="2">
        <f>F78/$F$85</f>
        <v>0.14342373649618492</v>
      </c>
    </row>
    <row r="79" spans="1:24" x14ac:dyDescent="0.25">
      <c r="A79" t="s">
        <v>63</v>
      </c>
      <c r="B79" s="1">
        <v>824</v>
      </c>
      <c r="C79" s="1">
        <v>813</v>
      </c>
      <c r="D79" s="1">
        <v>834</v>
      </c>
      <c r="E79" s="1">
        <v>898</v>
      </c>
      <c r="F79" s="1">
        <f>SUM(B79:E79)</f>
        <v>3369</v>
      </c>
      <c r="G79" s="2">
        <f>F79/$F$85</f>
        <v>0.12725693132885094</v>
      </c>
    </row>
    <row r="80" spans="1:24" x14ac:dyDescent="0.25">
      <c r="A80" t="s">
        <v>64</v>
      </c>
      <c r="B80" s="1">
        <v>522</v>
      </c>
      <c r="C80" s="1">
        <v>669</v>
      </c>
      <c r="D80" s="1">
        <v>674</v>
      </c>
      <c r="E80" s="1">
        <v>531</v>
      </c>
      <c r="F80" s="1">
        <f t="shared" ref="F80:F84" si="18">SUM(B80:E80)</f>
        <v>2396</v>
      </c>
      <c r="G80" s="2">
        <f t="shared" ref="G80:G84" si="19">F80/$F$85</f>
        <v>9.0503890609654761E-2</v>
      </c>
    </row>
    <row r="81" spans="1:7" x14ac:dyDescent="0.25">
      <c r="A81" t="s">
        <v>65</v>
      </c>
      <c r="B81" s="1">
        <v>1595</v>
      </c>
      <c r="C81" s="1">
        <v>1497</v>
      </c>
      <c r="D81" s="1">
        <v>1686</v>
      </c>
      <c r="E81" s="1">
        <v>1522</v>
      </c>
      <c r="F81" s="1">
        <f t="shared" si="18"/>
        <v>6300</v>
      </c>
      <c r="G81" s="2">
        <f t="shared" si="19"/>
        <v>0.23796932839767318</v>
      </c>
    </row>
    <row r="82" spans="1:7" x14ac:dyDescent="0.25">
      <c r="A82" t="s">
        <v>66</v>
      </c>
      <c r="B82" s="1">
        <v>1093</v>
      </c>
      <c r="C82" s="1">
        <v>1148</v>
      </c>
      <c r="D82" s="1">
        <v>1257</v>
      </c>
      <c r="E82" s="1">
        <v>1090</v>
      </c>
      <c r="F82" s="1">
        <f t="shared" si="18"/>
        <v>4588</v>
      </c>
      <c r="G82" s="2">
        <f t="shared" si="19"/>
        <v>0.17330210772833723</v>
      </c>
    </row>
    <row r="83" spans="1:7" x14ac:dyDescent="0.25">
      <c r="A83" t="s">
        <v>67</v>
      </c>
      <c r="B83" s="1">
        <v>1481</v>
      </c>
      <c r="C83" s="1">
        <v>1462</v>
      </c>
      <c r="D83" s="1">
        <v>1410</v>
      </c>
      <c r="E83" s="1">
        <v>1461</v>
      </c>
      <c r="F83" s="1">
        <f t="shared" si="18"/>
        <v>5814</v>
      </c>
      <c r="G83" s="2">
        <f t="shared" si="19"/>
        <v>0.21961169449270984</v>
      </c>
    </row>
    <row r="84" spans="1:7" x14ac:dyDescent="0.25">
      <c r="A84" t="s">
        <v>55</v>
      </c>
      <c r="B84" s="1">
        <v>62</v>
      </c>
      <c r="C84" s="1">
        <v>54</v>
      </c>
      <c r="D84" s="1">
        <v>40</v>
      </c>
      <c r="E84" s="1">
        <v>54</v>
      </c>
      <c r="F84" s="1">
        <f t="shared" si="18"/>
        <v>210</v>
      </c>
      <c r="G84" s="2">
        <f t="shared" si="19"/>
        <v>7.9323109465891072E-3</v>
      </c>
    </row>
    <row r="85" spans="1:7" x14ac:dyDescent="0.25">
      <c r="A85" s="14" t="s">
        <v>7</v>
      </c>
      <c r="B85" s="15">
        <f>SUM(B78:B84)</f>
        <v>6531</v>
      </c>
      <c r="C85" s="15">
        <f>SUM(C78:C84)</f>
        <v>6572</v>
      </c>
      <c r="D85" s="15">
        <f>SUM(D78:D84)</f>
        <v>6892</v>
      </c>
      <c r="E85" s="15">
        <f>SUM(E78:E84)</f>
        <v>6479</v>
      </c>
      <c r="F85" s="15">
        <f>SUM(F78:F84)</f>
        <v>26474</v>
      </c>
      <c r="G85" s="16">
        <f>SUBTOTAL(109,G78:G84)</f>
        <v>0.99999999999999989</v>
      </c>
    </row>
    <row r="86" spans="1:7" ht="12" customHeight="1" thickBot="1" x14ac:dyDescent="0.3">
      <c r="A86" s="73"/>
      <c r="B86" s="73"/>
      <c r="C86" s="73"/>
      <c r="D86" s="73"/>
      <c r="E86" s="73"/>
      <c r="F86" s="73"/>
      <c r="G86" s="73"/>
    </row>
    <row r="87" spans="1:7" ht="53.25" customHeight="1" thickBot="1" x14ac:dyDescent="0.3">
      <c r="A87" s="70" t="s">
        <v>68</v>
      </c>
      <c r="B87" s="71"/>
      <c r="C87" s="71"/>
      <c r="D87" s="71"/>
      <c r="E87" s="71"/>
      <c r="F87" s="71"/>
      <c r="G87" s="72"/>
    </row>
  </sheetData>
  <sheetProtection sheet="1" objects="1" scenarios="1"/>
  <mergeCells count="13">
    <mergeCell ref="A1:G1"/>
    <mergeCell ref="A2:G2"/>
    <mergeCell ref="A87:G87"/>
    <mergeCell ref="A86:G86"/>
    <mergeCell ref="A3:G3"/>
    <mergeCell ref="A43:G43"/>
    <mergeCell ref="A50:G50"/>
    <mergeCell ref="A60:G60"/>
    <mergeCell ref="A66:G66"/>
    <mergeCell ref="A76:G76"/>
    <mergeCell ref="A44:G44"/>
    <mergeCell ref="A75:G75"/>
    <mergeCell ref="A59:G59"/>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9"/>
  <sheetViews>
    <sheetView topLeftCell="A44" workbookViewId="0">
      <selection activeCell="C145" sqref="C145:I145"/>
    </sheetView>
  </sheetViews>
  <sheetFormatPr defaultRowHeight="15" x14ac:dyDescent="0.25"/>
  <cols>
    <col min="1" max="1" width="35.28515625" bestFit="1" customWidth="1"/>
    <col min="2" max="6" width="9.140625" style="1"/>
    <col min="10" max="10" width="35.28515625" bestFit="1" customWidth="1"/>
  </cols>
  <sheetData>
    <row r="1" spans="1:16" ht="15" customHeight="1" thickBot="1" x14ac:dyDescent="0.3">
      <c r="A1" s="80" t="s">
        <v>69</v>
      </c>
      <c r="B1" s="80"/>
      <c r="C1" s="80"/>
      <c r="D1" s="80"/>
      <c r="E1" s="80"/>
      <c r="F1" s="80"/>
      <c r="G1" s="80"/>
      <c r="J1" s="80" t="s">
        <v>70</v>
      </c>
      <c r="K1" s="80"/>
      <c r="L1" s="80"/>
      <c r="M1" s="80"/>
      <c r="N1" s="80"/>
      <c r="O1" s="80"/>
      <c r="P1" s="80"/>
    </row>
    <row r="2" spans="1:16" ht="15.75" thickTop="1" x14ac:dyDescent="0.25">
      <c r="A2" s="59" t="s">
        <v>2</v>
      </c>
      <c r="B2" s="3" t="s">
        <v>3</v>
      </c>
      <c r="C2" s="3" t="s">
        <v>4</v>
      </c>
      <c r="D2" s="3" t="s">
        <v>5</v>
      </c>
      <c r="E2" s="3" t="s">
        <v>6</v>
      </c>
      <c r="F2" s="3" t="s">
        <v>7</v>
      </c>
      <c r="G2" s="4" t="s">
        <v>8</v>
      </c>
      <c r="J2" s="59" t="s">
        <v>2</v>
      </c>
      <c r="K2" s="3" t="s">
        <v>3</v>
      </c>
      <c r="L2" s="3" t="s">
        <v>4</v>
      </c>
      <c r="M2" s="3" t="s">
        <v>5</v>
      </c>
      <c r="N2" s="3" t="s">
        <v>6</v>
      </c>
      <c r="O2" s="3" t="s">
        <v>7</v>
      </c>
      <c r="P2" s="4" t="s">
        <v>8</v>
      </c>
    </row>
    <row r="3" spans="1:16" x14ac:dyDescent="0.25">
      <c r="A3" t="s">
        <v>9</v>
      </c>
      <c r="B3" s="1">
        <v>0</v>
      </c>
      <c r="C3" s="1">
        <v>2</v>
      </c>
      <c r="D3" s="1">
        <v>1</v>
      </c>
      <c r="E3" s="1">
        <v>0</v>
      </c>
      <c r="F3" s="1">
        <f t="shared" ref="F3:F26" si="0">SUM(B3:E3)</f>
        <v>3</v>
      </c>
      <c r="G3" s="2">
        <f t="shared" ref="G3:G26" si="1">F3/F$39</f>
        <v>2.7132133490096773E-4</v>
      </c>
      <c r="J3" t="s">
        <v>9</v>
      </c>
      <c r="K3" s="1">
        <v>0</v>
      </c>
      <c r="L3" s="1">
        <v>0</v>
      </c>
      <c r="M3" s="1">
        <v>0</v>
      </c>
      <c r="N3" s="1">
        <v>0</v>
      </c>
      <c r="O3" s="1">
        <f t="shared" ref="O3:O26" si="2">SUM(K3:N3)</f>
        <v>0</v>
      </c>
      <c r="P3" s="2">
        <f t="shared" ref="P3:P26" si="3">O3/O$39</f>
        <v>0</v>
      </c>
    </row>
    <row r="4" spans="1:16" x14ac:dyDescent="0.25">
      <c r="A4" t="s">
        <v>10</v>
      </c>
      <c r="B4" s="1">
        <v>0</v>
      </c>
      <c r="C4" s="1">
        <v>0</v>
      </c>
      <c r="D4" s="1">
        <v>4</v>
      </c>
      <c r="E4" s="1">
        <v>1</v>
      </c>
      <c r="F4" s="1">
        <f t="shared" si="0"/>
        <v>5</v>
      </c>
      <c r="G4" s="2">
        <f t="shared" si="1"/>
        <v>4.522022248349462E-4</v>
      </c>
      <c r="J4" t="s">
        <v>10</v>
      </c>
      <c r="K4" s="1">
        <v>0</v>
      </c>
      <c r="L4" s="1">
        <v>0</v>
      </c>
      <c r="M4" s="1">
        <v>0</v>
      </c>
      <c r="N4" s="1">
        <v>0</v>
      </c>
      <c r="O4" s="1">
        <f t="shared" si="2"/>
        <v>0</v>
      </c>
      <c r="P4" s="2">
        <f t="shared" si="3"/>
        <v>0</v>
      </c>
    </row>
    <row r="5" spans="1:16" x14ac:dyDescent="0.25">
      <c r="A5" t="s">
        <v>11</v>
      </c>
      <c r="B5" s="1">
        <v>406</v>
      </c>
      <c r="C5" s="1">
        <v>350</v>
      </c>
      <c r="D5" s="1">
        <v>382</v>
      </c>
      <c r="E5" s="1">
        <v>350</v>
      </c>
      <c r="F5" s="1">
        <f t="shared" si="0"/>
        <v>1488</v>
      </c>
      <c r="G5" s="2">
        <f t="shared" si="1"/>
        <v>0.13457538211087999</v>
      </c>
      <c r="J5" t="s">
        <v>11</v>
      </c>
      <c r="K5" s="1">
        <v>18</v>
      </c>
      <c r="L5" s="1">
        <v>22</v>
      </c>
      <c r="M5" s="1">
        <v>44</v>
      </c>
      <c r="N5" s="1">
        <v>16</v>
      </c>
      <c r="O5" s="1">
        <f t="shared" si="2"/>
        <v>100</v>
      </c>
      <c r="P5" s="2">
        <f t="shared" si="3"/>
        <v>3.0788177339901478E-2</v>
      </c>
    </row>
    <row r="6" spans="1:16" x14ac:dyDescent="0.25">
      <c r="A6" t="s">
        <v>12</v>
      </c>
      <c r="B6" s="1">
        <v>0</v>
      </c>
      <c r="C6" s="1">
        <v>0</v>
      </c>
      <c r="D6" s="1">
        <v>0</v>
      </c>
      <c r="E6" s="1">
        <v>0</v>
      </c>
      <c r="F6" s="1">
        <f t="shared" si="0"/>
        <v>0</v>
      </c>
      <c r="G6" s="2">
        <f t="shared" si="1"/>
        <v>0</v>
      </c>
      <c r="J6" t="s">
        <v>12</v>
      </c>
      <c r="K6" s="1">
        <v>0</v>
      </c>
      <c r="L6" s="1">
        <v>0</v>
      </c>
      <c r="M6" s="1">
        <v>0</v>
      </c>
      <c r="N6" s="1">
        <v>0</v>
      </c>
      <c r="O6" s="1">
        <f t="shared" si="2"/>
        <v>0</v>
      </c>
      <c r="P6" s="2">
        <f t="shared" si="3"/>
        <v>0</v>
      </c>
    </row>
    <row r="7" spans="1:16" x14ac:dyDescent="0.25">
      <c r="A7" t="s">
        <v>13</v>
      </c>
      <c r="B7" s="1">
        <v>10</v>
      </c>
      <c r="C7" s="1">
        <v>20</v>
      </c>
      <c r="D7" s="1">
        <v>19</v>
      </c>
      <c r="E7" s="1">
        <v>16</v>
      </c>
      <c r="F7" s="1">
        <f t="shared" si="0"/>
        <v>65</v>
      </c>
      <c r="G7" s="2">
        <f t="shared" si="1"/>
        <v>5.8786289228543002E-3</v>
      </c>
      <c r="J7" t="s">
        <v>13</v>
      </c>
      <c r="K7" s="1">
        <v>0</v>
      </c>
      <c r="L7" s="1">
        <v>0</v>
      </c>
      <c r="M7" s="1">
        <v>3</v>
      </c>
      <c r="N7" s="1">
        <v>0</v>
      </c>
      <c r="O7" s="1">
        <f t="shared" si="2"/>
        <v>3</v>
      </c>
      <c r="P7" s="2">
        <f t="shared" si="3"/>
        <v>9.2364532019704429E-4</v>
      </c>
    </row>
    <row r="8" spans="1:16" x14ac:dyDescent="0.25">
      <c r="A8" t="s">
        <v>14</v>
      </c>
      <c r="B8" s="1">
        <v>3</v>
      </c>
      <c r="C8" s="1">
        <v>1</v>
      </c>
      <c r="D8" s="1">
        <v>1</v>
      </c>
      <c r="E8" s="1">
        <v>2</v>
      </c>
      <c r="F8" s="1">
        <f t="shared" si="0"/>
        <v>7</v>
      </c>
      <c r="G8" s="2">
        <f t="shared" si="1"/>
        <v>6.3308311476892461E-4</v>
      </c>
      <c r="J8" t="s">
        <v>14</v>
      </c>
      <c r="K8" s="1">
        <v>0</v>
      </c>
      <c r="L8" s="1">
        <v>2</v>
      </c>
      <c r="M8" s="1">
        <v>2</v>
      </c>
      <c r="N8" s="1">
        <v>0</v>
      </c>
      <c r="O8" s="1">
        <f t="shared" si="2"/>
        <v>4</v>
      </c>
      <c r="P8" s="2">
        <f t="shared" si="3"/>
        <v>1.2315270935960591E-3</v>
      </c>
    </row>
    <row r="9" spans="1:16" x14ac:dyDescent="0.25">
      <c r="A9" t="s">
        <v>15</v>
      </c>
      <c r="B9" s="1">
        <v>96</v>
      </c>
      <c r="C9" s="1">
        <v>103</v>
      </c>
      <c r="D9" s="1">
        <v>101</v>
      </c>
      <c r="E9" s="1">
        <v>95</v>
      </c>
      <c r="F9" s="1">
        <f t="shared" si="0"/>
        <v>395</v>
      </c>
      <c r="G9" s="2">
        <f t="shared" si="1"/>
        <v>3.572397576196075E-2</v>
      </c>
      <c r="J9" t="s">
        <v>15</v>
      </c>
      <c r="K9" s="1">
        <v>10</v>
      </c>
      <c r="L9" s="1">
        <v>13</v>
      </c>
      <c r="M9" s="1">
        <v>12</v>
      </c>
      <c r="N9" s="1">
        <v>12</v>
      </c>
      <c r="O9" s="1">
        <f t="shared" si="2"/>
        <v>47</v>
      </c>
      <c r="P9" s="2">
        <f t="shared" si="3"/>
        <v>1.4470443349753694E-2</v>
      </c>
    </row>
    <row r="10" spans="1:16" x14ac:dyDescent="0.25">
      <c r="A10" t="s">
        <v>16</v>
      </c>
      <c r="B10" s="1">
        <v>162</v>
      </c>
      <c r="C10" s="1">
        <v>173</v>
      </c>
      <c r="D10" s="1">
        <v>189</v>
      </c>
      <c r="E10" s="1">
        <v>156</v>
      </c>
      <c r="F10" s="1">
        <f t="shared" si="0"/>
        <v>680</v>
      </c>
      <c r="G10" s="2">
        <f t="shared" si="1"/>
        <v>6.1499502577552684E-2</v>
      </c>
      <c r="J10" t="s">
        <v>16</v>
      </c>
      <c r="K10" s="1">
        <v>21</v>
      </c>
      <c r="L10" s="1">
        <v>21</v>
      </c>
      <c r="M10" s="1">
        <v>19</v>
      </c>
      <c r="N10" s="1">
        <v>23</v>
      </c>
      <c r="O10" s="1">
        <f t="shared" si="2"/>
        <v>84</v>
      </c>
      <c r="P10" s="2">
        <f t="shared" si="3"/>
        <v>2.5862068965517241E-2</v>
      </c>
    </row>
    <row r="11" spans="1:16" x14ac:dyDescent="0.25">
      <c r="A11" t="s">
        <v>17</v>
      </c>
      <c r="B11" s="1">
        <v>1</v>
      </c>
      <c r="C11" s="1">
        <v>4</v>
      </c>
      <c r="D11" s="1">
        <v>3</v>
      </c>
      <c r="E11" s="1">
        <v>0</v>
      </c>
      <c r="F11" s="1">
        <f t="shared" si="0"/>
        <v>8</v>
      </c>
      <c r="G11" s="2">
        <f t="shared" si="1"/>
        <v>7.2352355973591387E-4</v>
      </c>
      <c r="J11" t="s">
        <v>17</v>
      </c>
      <c r="K11" s="1">
        <v>2</v>
      </c>
      <c r="L11" s="1">
        <v>1</v>
      </c>
      <c r="M11" s="1">
        <v>3</v>
      </c>
      <c r="N11" s="1">
        <v>0</v>
      </c>
      <c r="O11" s="1">
        <f t="shared" si="2"/>
        <v>6</v>
      </c>
      <c r="P11" s="2">
        <f t="shared" si="3"/>
        <v>1.8472906403940886E-3</v>
      </c>
    </row>
    <row r="12" spans="1:16" x14ac:dyDescent="0.25">
      <c r="A12" t="s">
        <v>18</v>
      </c>
      <c r="B12" s="1">
        <v>1</v>
      </c>
      <c r="C12" s="1">
        <v>4</v>
      </c>
      <c r="D12" s="1">
        <v>2</v>
      </c>
      <c r="E12" s="1">
        <v>3</v>
      </c>
      <c r="F12" s="1">
        <f t="shared" si="0"/>
        <v>10</v>
      </c>
      <c r="G12" s="2">
        <f t="shared" si="1"/>
        <v>9.044044496698924E-4</v>
      </c>
      <c r="J12" t="s">
        <v>18</v>
      </c>
      <c r="K12" s="1">
        <v>0</v>
      </c>
      <c r="L12" s="1">
        <v>0</v>
      </c>
      <c r="M12" s="1">
        <v>0</v>
      </c>
      <c r="N12" s="1">
        <v>0</v>
      </c>
      <c r="O12" s="1">
        <f t="shared" si="2"/>
        <v>0</v>
      </c>
      <c r="P12" s="2">
        <f t="shared" si="3"/>
        <v>0</v>
      </c>
    </row>
    <row r="13" spans="1:16" x14ac:dyDescent="0.25">
      <c r="A13" t="s">
        <v>19</v>
      </c>
      <c r="B13" s="1">
        <v>11</v>
      </c>
      <c r="C13" s="1">
        <v>19</v>
      </c>
      <c r="D13" s="1">
        <v>18</v>
      </c>
      <c r="E13" s="1">
        <v>11</v>
      </c>
      <c r="F13" s="1">
        <f t="shared" si="0"/>
        <v>59</v>
      </c>
      <c r="G13" s="2">
        <f t="shared" si="1"/>
        <v>5.3359862530523647E-3</v>
      </c>
      <c r="J13" t="s">
        <v>19</v>
      </c>
      <c r="K13" s="1">
        <v>2</v>
      </c>
      <c r="L13" s="1">
        <v>1</v>
      </c>
      <c r="M13" s="1">
        <v>4</v>
      </c>
      <c r="N13" s="1">
        <v>3</v>
      </c>
      <c r="O13" s="1">
        <f t="shared" si="2"/>
        <v>10</v>
      </c>
      <c r="P13" s="2">
        <f t="shared" si="3"/>
        <v>3.0788177339901479E-3</v>
      </c>
    </row>
    <row r="14" spans="1:16" x14ac:dyDescent="0.25">
      <c r="A14" t="s">
        <v>20</v>
      </c>
      <c r="B14" s="1">
        <v>0</v>
      </c>
      <c r="C14" s="1">
        <v>0</v>
      </c>
      <c r="D14" s="1">
        <v>0</v>
      </c>
      <c r="E14" s="1">
        <v>0</v>
      </c>
      <c r="F14" s="1">
        <f t="shared" si="0"/>
        <v>0</v>
      </c>
      <c r="G14" s="2">
        <f t="shared" si="1"/>
        <v>0</v>
      </c>
      <c r="J14" t="s">
        <v>20</v>
      </c>
      <c r="K14" s="1">
        <v>0</v>
      </c>
      <c r="L14" s="1">
        <v>0</v>
      </c>
      <c r="M14" s="1">
        <v>0</v>
      </c>
      <c r="N14" s="1">
        <v>0</v>
      </c>
      <c r="O14" s="1">
        <f t="shared" si="2"/>
        <v>0</v>
      </c>
      <c r="P14" s="2">
        <f t="shared" si="3"/>
        <v>0</v>
      </c>
    </row>
    <row r="15" spans="1:16" x14ac:dyDescent="0.25">
      <c r="A15" t="s">
        <v>21</v>
      </c>
      <c r="B15" s="1">
        <v>0</v>
      </c>
      <c r="C15" s="1">
        <v>2</v>
      </c>
      <c r="D15" s="1">
        <v>4</v>
      </c>
      <c r="E15" s="1">
        <v>2</v>
      </c>
      <c r="F15" s="1">
        <f t="shared" si="0"/>
        <v>8</v>
      </c>
      <c r="G15" s="2">
        <f t="shared" si="1"/>
        <v>7.2352355973591387E-4</v>
      </c>
      <c r="J15" t="s">
        <v>21</v>
      </c>
      <c r="K15" s="1">
        <v>0</v>
      </c>
      <c r="L15" s="1">
        <v>0</v>
      </c>
      <c r="M15" s="1">
        <v>0</v>
      </c>
      <c r="N15" s="1">
        <v>0</v>
      </c>
      <c r="O15" s="1">
        <f t="shared" si="2"/>
        <v>0</v>
      </c>
      <c r="P15" s="2">
        <f t="shared" si="3"/>
        <v>0</v>
      </c>
    </row>
    <row r="16" spans="1:16" x14ac:dyDescent="0.25">
      <c r="A16" t="s">
        <v>23</v>
      </c>
      <c r="B16" s="1">
        <v>0</v>
      </c>
      <c r="C16" s="1">
        <v>0</v>
      </c>
      <c r="D16" s="1">
        <v>1</v>
      </c>
      <c r="E16" s="1">
        <v>2</v>
      </c>
      <c r="F16" s="1">
        <f t="shared" si="0"/>
        <v>3</v>
      </c>
      <c r="G16" s="2">
        <f t="shared" si="1"/>
        <v>2.7132133490096773E-4</v>
      </c>
      <c r="J16" t="s">
        <v>23</v>
      </c>
      <c r="K16" s="1">
        <v>0</v>
      </c>
      <c r="L16" s="1">
        <v>0</v>
      </c>
      <c r="M16" s="1">
        <v>0</v>
      </c>
      <c r="N16" s="1">
        <v>0</v>
      </c>
      <c r="O16" s="1">
        <f t="shared" si="2"/>
        <v>0</v>
      </c>
      <c r="P16" s="2">
        <f t="shared" si="3"/>
        <v>0</v>
      </c>
    </row>
    <row r="17" spans="1:16" x14ac:dyDescent="0.25">
      <c r="A17" t="s">
        <v>24</v>
      </c>
      <c r="B17" s="1">
        <v>14</v>
      </c>
      <c r="C17" s="1">
        <v>16</v>
      </c>
      <c r="D17" s="1">
        <v>25</v>
      </c>
      <c r="E17" s="1">
        <v>22</v>
      </c>
      <c r="F17" s="1">
        <f t="shared" si="0"/>
        <v>77</v>
      </c>
      <c r="G17" s="2">
        <f t="shared" si="1"/>
        <v>6.9639142624581714E-3</v>
      </c>
      <c r="J17" t="s">
        <v>24</v>
      </c>
      <c r="K17" s="1">
        <v>0</v>
      </c>
      <c r="L17" s="1">
        <v>0</v>
      </c>
      <c r="M17" s="1">
        <v>0</v>
      </c>
      <c r="N17" s="1">
        <v>0</v>
      </c>
      <c r="O17" s="1">
        <f t="shared" si="2"/>
        <v>0</v>
      </c>
      <c r="P17" s="2">
        <f t="shared" si="3"/>
        <v>0</v>
      </c>
    </row>
    <row r="18" spans="1:16" x14ac:dyDescent="0.25">
      <c r="A18" t="s">
        <v>25</v>
      </c>
      <c r="B18" s="1">
        <v>124</v>
      </c>
      <c r="C18" s="1">
        <v>87</v>
      </c>
      <c r="D18" s="1">
        <v>128</v>
      </c>
      <c r="E18" s="1">
        <v>120</v>
      </c>
      <c r="F18" s="1">
        <f t="shared" si="0"/>
        <v>459</v>
      </c>
      <c r="G18" s="2">
        <f t="shared" si="1"/>
        <v>4.1512164239848062E-2</v>
      </c>
      <c r="J18" t="s">
        <v>25</v>
      </c>
      <c r="K18" s="1">
        <v>65</v>
      </c>
      <c r="L18" s="1">
        <v>54</v>
      </c>
      <c r="M18" s="1">
        <v>68</v>
      </c>
      <c r="N18" s="1">
        <v>67</v>
      </c>
      <c r="O18" s="1">
        <f t="shared" si="2"/>
        <v>254</v>
      </c>
      <c r="P18" s="2">
        <f t="shared" si="3"/>
        <v>7.8201970443349755E-2</v>
      </c>
    </row>
    <row r="19" spans="1:16" x14ac:dyDescent="0.25">
      <c r="A19" t="s">
        <v>26</v>
      </c>
      <c r="B19" s="1">
        <v>31</v>
      </c>
      <c r="C19" s="1">
        <v>27</v>
      </c>
      <c r="D19" s="1">
        <v>21</v>
      </c>
      <c r="E19" s="1">
        <v>21</v>
      </c>
      <c r="F19" s="1">
        <f t="shared" si="0"/>
        <v>100</v>
      </c>
      <c r="G19" s="2">
        <f t="shared" si="1"/>
        <v>9.0440444966989244E-3</v>
      </c>
      <c r="J19" t="s">
        <v>26</v>
      </c>
      <c r="K19" s="1">
        <v>1</v>
      </c>
      <c r="L19" s="1">
        <v>1</v>
      </c>
      <c r="M19" s="1">
        <v>0</v>
      </c>
      <c r="N19" s="1">
        <v>2</v>
      </c>
      <c r="O19" s="1">
        <f t="shared" si="2"/>
        <v>4</v>
      </c>
      <c r="P19" s="2">
        <f t="shared" si="3"/>
        <v>1.2315270935960591E-3</v>
      </c>
    </row>
    <row r="20" spans="1:16" x14ac:dyDescent="0.25">
      <c r="A20" t="s">
        <v>27</v>
      </c>
      <c r="B20" s="1">
        <v>5</v>
      </c>
      <c r="C20" s="1">
        <v>3</v>
      </c>
      <c r="D20" s="1">
        <v>6</v>
      </c>
      <c r="E20" s="1">
        <v>3</v>
      </c>
      <c r="F20" s="1">
        <f t="shared" si="0"/>
        <v>17</v>
      </c>
      <c r="G20" s="2">
        <f t="shared" si="1"/>
        <v>1.537487564438817E-3</v>
      </c>
      <c r="J20" t="s">
        <v>27</v>
      </c>
      <c r="K20" s="1">
        <v>1</v>
      </c>
      <c r="L20" s="1">
        <v>2</v>
      </c>
      <c r="M20" s="1">
        <v>2</v>
      </c>
      <c r="N20" s="1">
        <v>1</v>
      </c>
      <c r="O20" s="1">
        <f t="shared" si="2"/>
        <v>6</v>
      </c>
      <c r="P20" s="2">
        <f t="shared" si="3"/>
        <v>1.8472906403940886E-3</v>
      </c>
    </row>
    <row r="21" spans="1:16" x14ac:dyDescent="0.25">
      <c r="A21" t="s">
        <v>28</v>
      </c>
      <c r="B21" s="1">
        <v>0</v>
      </c>
      <c r="C21" s="1">
        <v>0</v>
      </c>
      <c r="D21" s="1">
        <v>0</v>
      </c>
      <c r="E21" s="1">
        <v>0</v>
      </c>
      <c r="F21" s="1">
        <f t="shared" si="0"/>
        <v>0</v>
      </c>
      <c r="G21" s="2">
        <f t="shared" si="1"/>
        <v>0</v>
      </c>
      <c r="J21" t="s">
        <v>28</v>
      </c>
      <c r="K21" s="1">
        <v>0</v>
      </c>
      <c r="L21" s="1">
        <v>0</v>
      </c>
      <c r="M21" s="1">
        <v>1</v>
      </c>
      <c r="N21" s="1">
        <v>0</v>
      </c>
      <c r="O21" s="1">
        <f t="shared" si="2"/>
        <v>1</v>
      </c>
      <c r="P21" s="2">
        <f t="shared" si="3"/>
        <v>3.0788177339901478E-4</v>
      </c>
    </row>
    <row r="22" spans="1:16" x14ac:dyDescent="0.25">
      <c r="A22" t="s">
        <v>29</v>
      </c>
      <c r="B22" s="1">
        <v>8</v>
      </c>
      <c r="C22" s="1">
        <v>14</v>
      </c>
      <c r="D22" s="1">
        <v>18</v>
      </c>
      <c r="E22" s="1">
        <v>19</v>
      </c>
      <c r="F22" s="1">
        <f t="shared" si="0"/>
        <v>59</v>
      </c>
      <c r="G22" s="2">
        <f t="shared" si="1"/>
        <v>5.3359862530523647E-3</v>
      </c>
      <c r="J22" t="s">
        <v>29</v>
      </c>
      <c r="K22" s="1">
        <v>0</v>
      </c>
      <c r="L22" s="1">
        <v>0</v>
      </c>
      <c r="M22" s="1">
        <v>0</v>
      </c>
      <c r="N22" s="1">
        <v>0</v>
      </c>
      <c r="O22" s="1">
        <f t="shared" si="2"/>
        <v>0</v>
      </c>
      <c r="P22" s="2">
        <f t="shared" si="3"/>
        <v>0</v>
      </c>
    </row>
    <row r="23" spans="1:16" x14ac:dyDescent="0.25">
      <c r="A23" t="s">
        <v>30</v>
      </c>
      <c r="B23" s="1">
        <v>23</v>
      </c>
      <c r="C23" s="1">
        <v>18</v>
      </c>
      <c r="D23" s="1">
        <v>17</v>
      </c>
      <c r="E23" s="1">
        <v>17</v>
      </c>
      <c r="F23" s="1">
        <f t="shared" si="0"/>
        <v>75</v>
      </c>
      <c r="G23" s="2">
        <f t="shared" si="1"/>
        <v>6.7830333725241929E-3</v>
      </c>
      <c r="J23" t="s">
        <v>30</v>
      </c>
      <c r="K23" s="1">
        <v>7</v>
      </c>
      <c r="L23" s="1">
        <v>7</v>
      </c>
      <c r="M23" s="1">
        <v>7</v>
      </c>
      <c r="N23" s="1">
        <v>4</v>
      </c>
      <c r="O23" s="1">
        <f t="shared" si="2"/>
        <v>25</v>
      </c>
      <c r="P23" s="2">
        <f t="shared" si="3"/>
        <v>7.6970443349753696E-3</v>
      </c>
    </row>
    <row r="24" spans="1:16" x14ac:dyDescent="0.25">
      <c r="A24" t="s">
        <v>31</v>
      </c>
      <c r="B24" s="1">
        <v>0</v>
      </c>
      <c r="C24" s="1">
        <v>1</v>
      </c>
      <c r="D24" s="1">
        <v>2</v>
      </c>
      <c r="E24" s="1">
        <v>1</v>
      </c>
      <c r="F24" s="1">
        <f t="shared" si="0"/>
        <v>4</v>
      </c>
      <c r="G24" s="2">
        <f t="shared" si="1"/>
        <v>3.6176177986795694E-4</v>
      </c>
      <c r="J24" t="s">
        <v>31</v>
      </c>
      <c r="K24" s="1">
        <v>0</v>
      </c>
      <c r="L24" s="1">
        <v>1</v>
      </c>
      <c r="M24" s="1">
        <v>0</v>
      </c>
      <c r="N24" s="1">
        <v>0</v>
      </c>
      <c r="O24" s="1">
        <f t="shared" si="2"/>
        <v>1</v>
      </c>
      <c r="P24" s="2">
        <f t="shared" si="3"/>
        <v>3.0788177339901478E-4</v>
      </c>
    </row>
    <row r="25" spans="1:16" x14ac:dyDescent="0.25">
      <c r="A25" t="s">
        <v>32</v>
      </c>
      <c r="B25" s="1">
        <v>7</v>
      </c>
      <c r="C25" s="1">
        <v>6</v>
      </c>
      <c r="D25" s="1">
        <v>9</v>
      </c>
      <c r="E25" s="1">
        <v>8</v>
      </c>
      <c r="F25" s="1">
        <f t="shared" si="0"/>
        <v>30</v>
      </c>
      <c r="G25" s="2">
        <f t="shared" si="1"/>
        <v>2.713213349009677E-3</v>
      </c>
      <c r="J25" t="s">
        <v>32</v>
      </c>
      <c r="K25" s="1">
        <v>2</v>
      </c>
      <c r="L25" s="1">
        <v>0</v>
      </c>
      <c r="M25" s="1">
        <v>0</v>
      </c>
      <c r="N25" s="1">
        <v>1</v>
      </c>
      <c r="O25" s="1">
        <f t="shared" si="2"/>
        <v>3</v>
      </c>
      <c r="P25" s="2">
        <f t="shared" si="3"/>
        <v>9.2364532019704429E-4</v>
      </c>
    </row>
    <row r="26" spans="1:16" x14ac:dyDescent="0.25">
      <c r="A26" t="s">
        <v>71</v>
      </c>
      <c r="B26" s="1">
        <v>36</v>
      </c>
      <c r="C26" s="1">
        <v>73</v>
      </c>
      <c r="D26" s="1">
        <v>57</v>
      </c>
      <c r="E26" s="1">
        <v>48</v>
      </c>
      <c r="F26" s="1">
        <f t="shared" si="0"/>
        <v>214</v>
      </c>
      <c r="G26" s="2">
        <f t="shared" si="1"/>
        <v>1.9354255222935698E-2</v>
      </c>
      <c r="J26" t="s">
        <v>71</v>
      </c>
      <c r="K26" s="1">
        <v>5</v>
      </c>
      <c r="L26" s="1">
        <v>8</v>
      </c>
      <c r="M26" s="1">
        <v>13</v>
      </c>
      <c r="N26" s="1">
        <v>2</v>
      </c>
      <c r="O26" s="1">
        <f t="shared" si="2"/>
        <v>28</v>
      </c>
      <c r="P26" s="2">
        <f t="shared" si="3"/>
        <v>8.6206896551724137E-3</v>
      </c>
    </row>
    <row r="27" spans="1:16" x14ac:dyDescent="0.25">
      <c r="A27" s="48" t="s">
        <v>34</v>
      </c>
      <c r="B27" s="49" t="s">
        <v>3</v>
      </c>
      <c r="C27" s="49" t="s">
        <v>4</v>
      </c>
      <c r="D27" s="49" t="s">
        <v>5</v>
      </c>
      <c r="E27" s="49" t="s">
        <v>6</v>
      </c>
      <c r="F27" s="49" t="s">
        <v>7</v>
      </c>
      <c r="G27" s="49" t="s">
        <v>8</v>
      </c>
      <c r="J27" s="48" t="s">
        <v>34</v>
      </c>
      <c r="K27" s="49" t="s">
        <v>3</v>
      </c>
      <c r="L27" s="49" t="s">
        <v>4</v>
      </c>
      <c r="M27" s="49" t="s">
        <v>5</v>
      </c>
      <c r="N27" s="49" t="s">
        <v>6</v>
      </c>
      <c r="O27" s="49" t="s">
        <v>7</v>
      </c>
      <c r="P27" s="49" t="s">
        <v>8</v>
      </c>
    </row>
    <row r="28" spans="1:16" x14ac:dyDescent="0.25">
      <c r="A28" t="s">
        <v>35</v>
      </c>
      <c r="B28" s="1">
        <v>0</v>
      </c>
      <c r="C28" s="1">
        <v>0</v>
      </c>
      <c r="D28" s="1">
        <v>0</v>
      </c>
      <c r="E28" s="1">
        <v>1</v>
      </c>
      <c r="F28" s="1">
        <f t="shared" ref="F28:F39" si="4">SUM(B28:E28)</f>
        <v>1</v>
      </c>
      <c r="G28" s="2">
        <f t="shared" ref="G28:G38" si="5">F28/F$39</f>
        <v>9.0440444966989234E-5</v>
      </c>
      <c r="J28" t="s">
        <v>35</v>
      </c>
      <c r="K28" s="1">
        <v>0</v>
      </c>
      <c r="L28" s="1">
        <v>0</v>
      </c>
      <c r="M28" s="1">
        <v>1</v>
      </c>
      <c r="N28" s="1">
        <v>2</v>
      </c>
      <c r="O28" s="1">
        <f t="shared" ref="O28:O39" si="6">SUM(K28:N28)</f>
        <v>3</v>
      </c>
      <c r="P28" s="2">
        <f t="shared" ref="P28:P38" si="7">O28/O$39</f>
        <v>9.2364532019704429E-4</v>
      </c>
    </row>
    <row r="29" spans="1:16" x14ac:dyDescent="0.25">
      <c r="A29" t="s">
        <v>36</v>
      </c>
      <c r="B29" s="1">
        <v>0</v>
      </c>
      <c r="C29" s="1">
        <v>0</v>
      </c>
      <c r="D29" s="1">
        <v>0</v>
      </c>
      <c r="E29" s="1">
        <v>0</v>
      </c>
      <c r="F29" s="1">
        <f t="shared" si="4"/>
        <v>0</v>
      </c>
      <c r="G29" s="2">
        <f t="shared" si="5"/>
        <v>0</v>
      </c>
      <c r="J29" t="s">
        <v>36</v>
      </c>
      <c r="K29" s="1">
        <v>0</v>
      </c>
      <c r="L29" s="1">
        <v>0</v>
      </c>
      <c r="M29" s="1">
        <v>0</v>
      </c>
      <c r="N29" s="1">
        <v>0</v>
      </c>
      <c r="O29" s="1">
        <f t="shared" si="6"/>
        <v>0</v>
      </c>
      <c r="P29" s="2">
        <f t="shared" si="7"/>
        <v>0</v>
      </c>
    </row>
    <row r="30" spans="1:16" x14ac:dyDescent="0.25">
      <c r="A30" t="s">
        <v>37</v>
      </c>
      <c r="B30" s="1">
        <v>510</v>
      </c>
      <c r="C30" s="1">
        <v>528</v>
      </c>
      <c r="D30" s="1">
        <v>646</v>
      </c>
      <c r="E30" s="1">
        <v>629</v>
      </c>
      <c r="F30" s="1">
        <f t="shared" si="4"/>
        <v>2313</v>
      </c>
      <c r="G30" s="2">
        <f t="shared" si="5"/>
        <v>0.20918874920864611</v>
      </c>
      <c r="J30" t="s">
        <v>37</v>
      </c>
      <c r="K30" s="1">
        <v>84</v>
      </c>
      <c r="L30" s="1">
        <v>110</v>
      </c>
      <c r="M30" s="1">
        <v>145</v>
      </c>
      <c r="N30" s="1">
        <v>101</v>
      </c>
      <c r="O30" s="1">
        <f t="shared" si="6"/>
        <v>440</v>
      </c>
      <c r="P30" s="2">
        <f t="shared" si="7"/>
        <v>0.1354679802955665</v>
      </c>
    </row>
    <row r="31" spans="1:16" x14ac:dyDescent="0.25">
      <c r="A31" t="s">
        <v>38</v>
      </c>
      <c r="B31" s="1">
        <v>81</v>
      </c>
      <c r="C31" s="1">
        <v>93</v>
      </c>
      <c r="D31" s="1">
        <v>64</v>
      </c>
      <c r="E31" s="1">
        <v>86</v>
      </c>
      <c r="F31" s="1">
        <f t="shared" si="4"/>
        <v>324</v>
      </c>
      <c r="G31" s="2">
        <f t="shared" si="5"/>
        <v>2.9302704169304514E-2</v>
      </c>
      <c r="J31" t="s">
        <v>38</v>
      </c>
      <c r="K31" s="1">
        <v>59</v>
      </c>
      <c r="L31" s="1">
        <v>48</v>
      </c>
      <c r="M31" s="1">
        <v>65</v>
      </c>
      <c r="N31" s="1">
        <v>58</v>
      </c>
      <c r="O31" s="1">
        <v>60</v>
      </c>
      <c r="P31" s="2">
        <f t="shared" si="7"/>
        <v>1.8472906403940888E-2</v>
      </c>
    </row>
    <row r="32" spans="1:16" x14ac:dyDescent="0.25">
      <c r="A32" t="s">
        <v>39</v>
      </c>
      <c r="B32" s="1">
        <v>0</v>
      </c>
      <c r="C32" s="1">
        <v>0</v>
      </c>
      <c r="D32" s="1">
        <v>0</v>
      </c>
      <c r="E32" s="1">
        <v>0</v>
      </c>
      <c r="F32" s="1">
        <f t="shared" si="4"/>
        <v>0</v>
      </c>
      <c r="G32" s="2">
        <f t="shared" si="5"/>
        <v>0</v>
      </c>
      <c r="J32" t="s">
        <v>39</v>
      </c>
      <c r="K32" s="1">
        <v>0</v>
      </c>
      <c r="L32" s="1">
        <v>0</v>
      </c>
      <c r="M32" s="1">
        <v>0</v>
      </c>
      <c r="N32" s="1">
        <v>0</v>
      </c>
      <c r="O32" s="1">
        <f t="shared" si="6"/>
        <v>0</v>
      </c>
      <c r="P32" s="2">
        <f t="shared" si="7"/>
        <v>0</v>
      </c>
    </row>
    <row r="33" spans="1:16" x14ac:dyDescent="0.25">
      <c r="A33" t="s">
        <v>40</v>
      </c>
      <c r="B33" s="1">
        <v>18</v>
      </c>
      <c r="C33" s="1">
        <v>13</v>
      </c>
      <c r="D33" s="1">
        <v>17</v>
      </c>
      <c r="E33" s="1">
        <v>7</v>
      </c>
      <c r="F33" s="1">
        <f t="shared" si="4"/>
        <v>55</v>
      </c>
      <c r="G33" s="2">
        <f t="shared" si="5"/>
        <v>4.9742244731844076E-3</v>
      </c>
      <c r="J33" t="s">
        <v>40</v>
      </c>
      <c r="K33" s="1">
        <v>2</v>
      </c>
      <c r="L33" s="1">
        <v>3</v>
      </c>
      <c r="M33" s="1">
        <v>0</v>
      </c>
      <c r="N33" s="1">
        <v>1</v>
      </c>
      <c r="O33" s="1">
        <f t="shared" si="6"/>
        <v>6</v>
      </c>
      <c r="P33" s="2">
        <f t="shared" si="7"/>
        <v>1.8472906403940886E-3</v>
      </c>
    </row>
    <row r="34" spans="1:16" x14ac:dyDescent="0.25">
      <c r="A34" t="s">
        <v>41</v>
      </c>
      <c r="B34" s="1">
        <v>12</v>
      </c>
      <c r="C34" s="1">
        <v>8</v>
      </c>
      <c r="D34" s="1">
        <v>3</v>
      </c>
      <c r="E34" s="1">
        <v>6</v>
      </c>
      <c r="F34" s="1">
        <f t="shared" si="4"/>
        <v>29</v>
      </c>
      <c r="G34" s="2">
        <f t="shared" si="5"/>
        <v>2.6227729040426877E-3</v>
      </c>
      <c r="J34" t="s">
        <v>41</v>
      </c>
      <c r="K34" s="1">
        <v>326</v>
      </c>
      <c r="L34" s="1">
        <v>328</v>
      </c>
      <c r="M34" s="1">
        <v>221</v>
      </c>
      <c r="N34" s="1">
        <v>274</v>
      </c>
      <c r="O34" s="1">
        <f t="shared" si="6"/>
        <v>1149</v>
      </c>
      <c r="P34" s="2">
        <f t="shared" si="7"/>
        <v>0.35375615763546797</v>
      </c>
    </row>
    <row r="35" spans="1:16" x14ac:dyDescent="0.25">
      <c r="A35" t="s">
        <v>42</v>
      </c>
      <c r="B35" s="1">
        <v>0</v>
      </c>
      <c r="C35" s="1">
        <v>0</v>
      </c>
      <c r="D35" s="1">
        <v>0</v>
      </c>
      <c r="E35" s="1">
        <v>0</v>
      </c>
      <c r="F35" s="1">
        <f t="shared" si="4"/>
        <v>0</v>
      </c>
      <c r="G35" s="2">
        <f t="shared" si="5"/>
        <v>0</v>
      </c>
      <c r="J35" t="s">
        <v>42</v>
      </c>
      <c r="K35" s="1">
        <v>0</v>
      </c>
      <c r="L35" s="1">
        <v>0</v>
      </c>
      <c r="M35" s="1">
        <v>0</v>
      </c>
      <c r="N35" s="1">
        <v>0</v>
      </c>
      <c r="O35" s="1">
        <f t="shared" si="6"/>
        <v>0</v>
      </c>
      <c r="P35" s="2">
        <f t="shared" si="7"/>
        <v>0</v>
      </c>
    </row>
    <row r="36" spans="1:16" x14ac:dyDescent="0.25">
      <c r="A36" t="s">
        <v>43</v>
      </c>
      <c r="B36" s="1">
        <v>0</v>
      </c>
      <c r="C36" s="1">
        <v>0</v>
      </c>
      <c r="D36" s="1">
        <v>0</v>
      </c>
      <c r="E36" s="1">
        <v>0</v>
      </c>
      <c r="F36" s="1">
        <f t="shared" si="4"/>
        <v>0</v>
      </c>
      <c r="G36" s="2">
        <f t="shared" si="5"/>
        <v>0</v>
      </c>
      <c r="J36" t="s">
        <v>43</v>
      </c>
      <c r="K36" s="1">
        <v>0</v>
      </c>
      <c r="L36" s="1">
        <v>0</v>
      </c>
      <c r="M36" s="1">
        <v>0</v>
      </c>
      <c r="N36" s="1">
        <v>0</v>
      </c>
      <c r="O36" s="1">
        <f t="shared" si="6"/>
        <v>0</v>
      </c>
      <c r="P36" s="2">
        <f t="shared" si="7"/>
        <v>0</v>
      </c>
    </row>
    <row r="37" spans="1:16" x14ac:dyDescent="0.25">
      <c r="A37" t="s">
        <v>44</v>
      </c>
      <c r="B37" s="1">
        <v>155</v>
      </c>
      <c r="C37" s="1">
        <v>109</v>
      </c>
      <c r="D37" s="1">
        <v>101</v>
      </c>
      <c r="E37" s="1">
        <v>159</v>
      </c>
      <c r="F37" s="1">
        <f t="shared" si="4"/>
        <v>524</v>
      </c>
      <c r="G37" s="2">
        <f t="shared" si="5"/>
        <v>4.7390793162702359E-2</v>
      </c>
      <c r="J37" t="s">
        <v>44</v>
      </c>
      <c r="K37" s="1">
        <v>106</v>
      </c>
      <c r="L37" s="1">
        <v>71</v>
      </c>
      <c r="M37" s="1">
        <v>82</v>
      </c>
      <c r="N37" s="1">
        <v>61</v>
      </c>
      <c r="O37" s="1">
        <f t="shared" si="6"/>
        <v>320</v>
      </c>
      <c r="P37" s="2">
        <f t="shared" si="7"/>
        <v>9.8522167487684734E-2</v>
      </c>
    </row>
    <row r="38" spans="1:16" x14ac:dyDescent="0.25">
      <c r="A38" t="s">
        <v>45</v>
      </c>
      <c r="B38" s="1">
        <v>1015</v>
      </c>
      <c r="C38" s="1">
        <v>1000</v>
      </c>
      <c r="D38" s="1">
        <v>1063</v>
      </c>
      <c r="E38" s="1">
        <v>967</v>
      </c>
      <c r="F38" s="1">
        <f t="shared" si="4"/>
        <v>4045</v>
      </c>
      <c r="G38" s="2">
        <f t="shared" si="5"/>
        <v>0.36583159989147146</v>
      </c>
      <c r="J38" t="s">
        <v>45</v>
      </c>
      <c r="K38" s="1">
        <v>175</v>
      </c>
      <c r="L38" s="1">
        <v>134</v>
      </c>
      <c r="M38" s="1">
        <v>113</v>
      </c>
      <c r="N38" s="1">
        <v>102</v>
      </c>
      <c r="O38" s="1">
        <f t="shared" si="6"/>
        <v>524</v>
      </c>
      <c r="P38" s="2">
        <f t="shared" si="7"/>
        <v>0.16133004926108374</v>
      </c>
    </row>
    <row r="39" spans="1:16" x14ac:dyDescent="0.25">
      <c r="A39" s="12" t="s">
        <v>7</v>
      </c>
      <c r="B39" s="65">
        <f>SUM(B3:B26,B28:B38)</f>
        <v>2729</v>
      </c>
      <c r="C39" s="65">
        <f>SUM(C3:C26,C28:C38)</f>
        <v>2674</v>
      </c>
      <c r="D39" s="65">
        <f>SUM(D3:D26,D28:D38)</f>
        <v>2902</v>
      </c>
      <c r="E39" s="65">
        <f>SUM(E3:E26,E28:E38)</f>
        <v>2752</v>
      </c>
      <c r="F39" s="65">
        <f t="shared" si="4"/>
        <v>11057</v>
      </c>
      <c r="G39" s="13">
        <f>SUBTOTAL(109,G3:G26,G28:G38)</f>
        <v>1</v>
      </c>
      <c r="J39" s="12" t="s">
        <v>7</v>
      </c>
      <c r="K39" s="65">
        <f>SUM(K3:K26,K28:K38)</f>
        <v>886</v>
      </c>
      <c r="L39" s="65">
        <f>SUM(L3:L26,L28:L38)</f>
        <v>827</v>
      </c>
      <c r="M39" s="65">
        <f>SUM(M3:M26,M28:M38)</f>
        <v>805</v>
      </c>
      <c r="N39" s="65">
        <f>SUM(N3:N26,N28:N38)</f>
        <v>730</v>
      </c>
      <c r="O39" s="65">
        <f t="shared" si="6"/>
        <v>3248</v>
      </c>
      <c r="P39" s="13">
        <f>SUBTOTAL(109,P3:P26,P28:P38)</f>
        <v>0.94766009852216748</v>
      </c>
    </row>
    <row r="40" spans="1:16" x14ac:dyDescent="0.25">
      <c r="A40" s="81" t="s">
        <v>72</v>
      </c>
      <c r="B40" s="82"/>
      <c r="C40" s="82"/>
      <c r="D40" s="82"/>
      <c r="E40" s="82"/>
      <c r="F40" s="82"/>
      <c r="G40" s="82"/>
    </row>
    <row r="41" spans="1:16" ht="44.25" customHeight="1" x14ac:dyDescent="0.25">
      <c r="A41" s="75" t="s">
        <v>73</v>
      </c>
      <c r="B41" s="76"/>
      <c r="C41" s="76"/>
      <c r="D41" s="76"/>
      <c r="E41" s="76"/>
      <c r="F41" s="76"/>
      <c r="G41" s="77"/>
    </row>
    <row r="42" spans="1:16" x14ac:dyDescent="0.25">
      <c r="A42" s="83"/>
      <c r="B42" s="84"/>
      <c r="C42" s="84"/>
      <c r="D42" s="84"/>
      <c r="E42" s="84"/>
      <c r="F42" s="84"/>
      <c r="G42" s="84"/>
    </row>
    <row r="43" spans="1:16" x14ac:dyDescent="0.25">
      <c r="A43" s="59" t="s">
        <v>74</v>
      </c>
      <c r="B43" s="3" t="s">
        <v>3</v>
      </c>
      <c r="C43" s="3" t="s">
        <v>4</v>
      </c>
      <c r="D43" s="3" t="s">
        <v>5</v>
      </c>
      <c r="E43" s="3" t="s">
        <v>6</v>
      </c>
      <c r="F43" s="3" t="s">
        <v>7</v>
      </c>
      <c r="G43" s="4" t="s">
        <v>8</v>
      </c>
      <c r="J43" s="59" t="s">
        <v>74</v>
      </c>
      <c r="K43" s="3" t="s">
        <v>3</v>
      </c>
      <c r="L43" s="3" t="s">
        <v>4</v>
      </c>
      <c r="M43" s="3" t="s">
        <v>5</v>
      </c>
      <c r="N43" s="3" t="s">
        <v>6</v>
      </c>
      <c r="O43" s="3" t="s">
        <v>7</v>
      </c>
      <c r="P43" s="4" t="s">
        <v>8</v>
      </c>
    </row>
    <row r="44" spans="1:16" x14ac:dyDescent="0.25">
      <c r="A44" t="s">
        <v>48</v>
      </c>
      <c r="B44" s="1">
        <v>1106</v>
      </c>
      <c r="C44" s="1">
        <v>1068</v>
      </c>
      <c r="D44" s="1">
        <v>1213</v>
      </c>
      <c r="E44" s="1">
        <v>1078</v>
      </c>
      <c r="F44" s="1">
        <f>SUM(B44:E44)</f>
        <v>4465</v>
      </c>
      <c r="G44" s="2">
        <f>F44/$F$47</f>
        <v>0.75639505336269697</v>
      </c>
      <c r="J44" t="s">
        <v>48</v>
      </c>
      <c r="K44" s="1">
        <v>472</v>
      </c>
      <c r="L44" s="1">
        <v>435</v>
      </c>
      <c r="M44" s="1">
        <v>418</v>
      </c>
      <c r="N44" s="1">
        <v>400</v>
      </c>
      <c r="O44" s="1">
        <f>SUM(K44:N44)</f>
        <v>1725</v>
      </c>
      <c r="P44" s="2">
        <f>O44/$O$47</f>
        <v>0.58395396073121186</v>
      </c>
    </row>
    <row r="45" spans="1:16" x14ac:dyDescent="0.25">
      <c r="A45" t="s">
        <v>49</v>
      </c>
      <c r="B45" s="1">
        <v>364</v>
      </c>
      <c r="C45" s="1">
        <v>370</v>
      </c>
      <c r="D45" s="1">
        <v>330</v>
      </c>
      <c r="E45" s="1">
        <v>373</v>
      </c>
      <c r="F45" s="1">
        <f t="shared" ref="F45:F46" si="8">SUM(B45:E45)</f>
        <v>1437</v>
      </c>
      <c r="G45" s="2">
        <f>F45/$F$47</f>
        <v>0.24343554125021175</v>
      </c>
      <c r="J45" t="s">
        <v>49</v>
      </c>
      <c r="K45" s="1">
        <v>324</v>
      </c>
      <c r="L45" s="1">
        <v>316</v>
      </c>
      <c r="M45" s="1">
        <v>299</v>
      </c>
      <c r="N45" s="1">
        <v>289</v>
      </c>
      <c r="O45" s="1">
        <f t="shared" ref="O45:O46" si="9">SUM(K45:N45)</f>
        <v>1228</v>
      </c>
      <c r="P45" s="2">
        <f t="shared" ref="P45:P46" si="10">O45/$O$47</f>
        <v>0.41570751523358157</v>
      </c>
    </row>
    <row r="46" spans="1:16" x14ac:dyDescent="0.25">
      <c r="A46" t="s">
        <v>50</v>
      </c>
      <c r="B46" s="1">
        <v>1</v>
      </c>
      <c r="C46" s="1">
        <v>0</v>
      </c>
      <c r="D46" s="1">
        <v>0</v>
      </c>
      <c r="E46" s="1">
        <v>0</v>
      </c>
      <c r="F46" s="1">
        <f t="shared" si="8"/>
        <v>1</v>
      </c>
      <c r="G46" s="2">
        <f>F46/$F$47</f>
        <v>1.6940538709130949E-4</v>
      </c>
      <c r="J46" t="s">
        <v>50</v>
      </c>
      <c r="K46" s="1">
        <v>1</v>
      </c>
      <c r="L46" s="1">
        <v>0</v>
      </c>
      <c r="M46" s="1">
        <v>0</v>
      </c>
      <c r="N46" s="1">
        <v>0</v>
      </c>
      <c r="O46" s="1">
        <f t="shared" si="9"/>
        <v>1</v>
      </c>
      <c r="P46" s="2">
        <f t="shared" si="10"/>
        <v>3.3852403520649965E-4</v>
      </c>
    </row>
    <row r="47" spans="1:16" x14ac:dyDescent="0.25">
      <c r="A47" s="12" t="s">
        <v>7</v>
      </c>
      <c r="B47" s="65">
        <f>SUM(B44:B46)</f>
        <v>1471</v>
      </c>
      <c r="C47" s="65">
        <f t="shared" ref="C47:F47" si="11">SUM(C44:C46)</f>
        <v>1438</v>
      </c>
      <c r="D47" s="65">
        <f t="shared" si="11"/>
        <v>1543</v>
      </c>
      <c r="E47" s="65">
        <f t="shared" si="11"/>
        <v>1451</v>
      </c>
      <c r="F47" s="65">
        <f t="shared" si="11"/>
        <v>5903</v>
      </c>
      <c r="G47" s="13">
        <f>SUBTOTAL(109,G44:G46)</f>
        <v>1</v>
      </c>
      <c r="J47" s="12" t="s">
        <v>7</v>
      </c>
      <c r="K47" s="65">
        <f>SUM(K44:K46)</f>
        <v>797</v>
      </c>
      <c r="L47" s="65">
        <f t="shared" ref="L47:O47" si="12">SUM(L44:L46)</f>
        <v>751</v>
      </c>
      <c r="M47" s="65">
        <f t="shared" si="12"/>
        <v>717</v>
      </c>
      <c r="N47" s="65">
        <f t="shared" si="12"/>
        <v>689</v>
      </c>
      <c r="O47" s="65">
        <f t="shared" si="12"/>
        <v>2954</v>
      </c>
      <c r="P47" s="13">
        <f>SUBTOTAL(109,P44:P46)</f>
        <v>1</v>
      </c>
    </row>
    <row r="48" spans="1:16" x14ac:dyDescent="0.25">
      <c r="A48" s="78"/>
      <c r="B48" s="78"/>
      <c r="C48" s="78"/>
      <c r="D48" s="78"/>
      <c r="E48" s="78"/>
      <c r="F48" s="78"/>
      <c r="G48" s="78"/>
    </row>
    <row r="49" spans="1:16" x14ac:dyDescent="0.25">
      <c r="A49" s="59" t="s">
        <v>75</v>
      </c>
      <c r="B49" s="3" t="s">
        <v>3</v>
      </c>
      <c r="C49" s="3" t="s">
        <v>4</v>
      </c>
      <c r="D49" s="3" t="s">
        <v>5</v>
      </c>
      <c r="E49" s="3" t="s">
        <v>6</v>
      </c>
      <c r="F49" s="3" t="s">
        <v>7</v>
      </c>
      <c r="G49" s="4" t="s">
        <v>8</v>
      </c>
      <c r="J49" s="59" t="s">
        <v>75</v>
      </c>
      <c r="K49" s="3" t="s">
        <v>3</v>
      </c>
      <c r="L49" s="3" t="s">
        <v>4</v>
      </c>
      <c r="M49" s="3" t="s">
        <v>5</v>
      </c>
      <c r="N49" s="3" t="s">
        <v>6</v>
      </c>
      <c r="O49" s="3" t="s">
        <v>7</v>
      </c>
      <c r="P49" s="4" t="s">
        <v>8</v>
      </c>
    </row>
    <row r="50" spans="1:16" x14ac:dyDescent="0.25">
      <c r="A50" t="s">
        <v>52</v>
      </c>
      <c r="B50" s="1">
        <v>23</v>
      </c>
      <c r="C50" s="1">
        <v>23</v>
      </c>
      <c r="D50" s="1">
        <v>19</v>
      </c>
      <c r="E50" s="1">
        <v>29</v>
      </c>
      <c r="F50" s="1">
        <f>SUM(B50:E50)</f>
        <v>94</v>
      </c>
      <c r="G50" s="2">
        <f>F50/$F$55</f>
        <v>1.5924106386583092E-2</v>
      </c>
      <c r="J50" t="s">
        <v>52</v>
      </c>
      <c r="K50" s="1">
        <v>40</v>
      </c>
      <c r="L50" s="1">
        <v>24</v>
      </c>
      <c r="M50" s="1">
        <v>26</v>
      </c>
      <c r="N50" s="1">
        <v>23</v>
      </c>
      <c r="O50" s="1">
        <f>SUM(K50:N50)</f>
        <v>113</v>
      </c>
      <c r="P50" s="2">
        <f>O50/$O$55</f>
        <v>3.8253215978334462E-2</v>
      </c>
    </row>
    <row r="51" spans="1:16" x14ac:dyDescent="0.25">
      <c r="A51" t="s">
        <v>53</v>
      </c>
      <c r="B51" s="1">
        <v>679</v>
      </c>
      <c r="C51" s="1">
        <v>685</v>
      </c>
      <c r="D51" s="1">
        <v>783</v>
      </c>
      <c r="E51" s="1">
        <v>712</v>
      </c>
      <c r="F51" s="1">
        <f t="shared" ref="F51" si="13">SUM(B51:E51)</f>
        <v>2859</v>
      </c>
      <c r="G51" s="2">
        <f>F51/$F$55</f>
        <v>0.48433000169405388</v>
      </c>
      <c r="J51" t="s">
        <v>53</v>
      </c>
      <c r="K51" s="1">
        <v>170</v>
      </c>
      <c r="L51" s="1">
        <v>192</v>
      </c>
      <c r="M51" s="1">
        <v>197</v>
      </c>
      <c r="N51" s="1">
        <v>175</v>
      </c>
      <c r="O51" s="1">
        <f t="shared" ref="O51:O54" si="14">SUM(K51:N51)</f>
        <v>734</v>
      </c>
      <c r="P51" s="2">
        <f t="shared" ref="P51:P54" si="15">O51/$O$55</f>
        <v>0.24847664184157076</v>
      </c>
    </row>
    <row r="52" spans="1:16" x14ac:dyDescent="0.25">
      <c r="A52" t="s">
        <v>54</v>
      </c>
      <c r="B52" s="1">
        <v>3</v>
      </c>
      <c r="C52" s="1">
        <v>5</v>
      </c>
      <c r="D52" s="1">
        <v>7</v>
      </c>
      <c r="E52" s="1">
        <v>22</v>
      </c>
      <c r="F52" s="1">
        <f t="shared" ref="F52:F54" si="16">SUM(B52:E52)</f>
        <v>37</v>
      </c>
      <c r="G52" s="2">
        <f>F52/$F$55</f>
        <v>6.2679993223784519E-3</v>
      </c>
      <c r="J52" t="s">
        <v>54</v>
      </c>
      <c r="K52" s="1">
        <v>4</v>
      </c>
      <c r="L52" s="1">
        <v>4</v>
      </c>
      <c r="M52" s="1">
        <v>3</v>
      </c>
      <c r="N52" s="1">
        <v>8</v>
      </c>
      <c r="O52" s="1">
        <f t="shared" si="14"/>
        <v>19</v>
      </c>
      <c r="P52" s="2">
        <f t="shared" si="15"/>
        <v>6.4319566689234938E-3</v>
      </c>
    </row>
    <row r="53" spans="1:16" x14ac:dyDescent="0.25">
      <c r="A53" t="s">
        <v>55</v>
      </c>
      <c r="B53" s="1">
        <f>26+8</f>
        <v>34</v>
      </c>
      <c r="C53" s="1">
        <f>29+5</f>
        <v>34</v>
      </c>
      <c r="D53" s="1">
        <f>29+1</f>
        <v>30</v>
      </c>
      <c r="E53" s="1">
        <v>24</v>
      </c>
      <c r="F53" s="1">
        <f t="shared" si="16"/>
        <v>122</v>
      </c>
      <c r="G53" s="2">
        <f>F53/$F$55</f>
        <v>2.0667457225139758E-2</v>
      </c>
      <c r="J53" t="s">
        <v>55</v>
      </c>
      <c r="K53" s="1">
        <f>14+1</f>
        <v>15</v>
      </c>
      <c r="L53" s="1">
        <v>17</v>
      </c>
      <c r="M53" s="1">
        <f>19+0</f>
        <v>19</v>
      </c>
      <c r="N53" s="1">
        <v>23</v>
      </c>
      <c r="O53" s="1">
        <f t="shared" si="14"/>
        <v>74</v>
      </c>
      <c r="P53" s="2">
        <f t="shared" si="15"/>
        <v>2.5050778605280974E-2</v>
      </c>
    </row>
    <row r="54" spans="1:16" x14ac:dyDescent="0.25">
      <c r="A54" t="s">
        <v>56</v>
      </c>
      <c r="B54" s="1">
        <v>732</v>
      </c>
      <c r="C54" s="1">
        <v>691</v>
      </c>
      <c r="D54" s="1">
        <v>704</v>
      </c>
      <c r="E54" s="1">
        <v>664</v>
      </c>
      <c r="F54" s="1">
        <f t="shared" si="16"/>
        <v>2791</v>
      </c>
      <c r="G54" s="2">
        <f>F54/$F$55</f>
        <v>0.47281043537184481</v>
      </c>
      <c r="J54" t="s">
        <v>56</v>
      </c>
      <c r="K54" s="1">
        <v>568</v>
      </c>
      <c r="L54" s="1">
        <v>514</v>
      </c>
      <c r="M54" s="1">
        <v>472</v>
      </c>
      <c r="N54" s="1">
        <v>460</v>
      </c>
      <c r="O54" s="1">
        <f t="shared" si="14"/>
        <v>2014</v>
      </c>
      <c r="P54" s="2">
        <f t="shared" si="15"/>
        <v>0.68178740690589035</v>
      </c>
    </row>
    <row r="55" spans="1:16" x14ac:dyDescent="0.25">
      <c r="A55" s="14" t="s">
        <v>7</v>
      </c>
      <c r="B55" s="15">
        <f>SUM(B50:B54)</f>
        <v>1471</v>
      </c>
      <c r="C55" s="15">
        <f>SUM(C50:C54)</f>
        <v>1438</v>
      </c>
      <c r="D55" s="15">
        <f>SUM(D50:D54)</f>
        <v>1543</v>
      </c>
      <c r="E55" s="15">
        <f>SUM(E50:E54)</f>
        <v>1451</v>
      </c>
      <c r="F55" s="15">
        <f>SUM(F50:F54)</f>
        <v>5903</v>
      </c>
      <c r="G55" s="16">
        <f>SUBTOTAL(109,G50:G54)</f>
        <v>1</v>
      </c>
      <c r="J55" s="14" t="s">
        <v>7</v>
      </c>
      <c r="K55" s="15">
        <f>SUM(K50:K54)</f>
        <v>797</v>
      </c>
      <c r="L55" s="15">
        <f>SUM(L50:L54)</f>
        <v>751</v>
      </c>
      <c r="M55" s="15">
        <f>SUM(M50:M54)</f>
        <v>717</v>
      </c>
      <c r="N55" s="15">
        <f>SUM(N50:N54)</f>
        <v>689</v>
      </c>
      <c r="O55" s="15">
        <f>SUM(O50:O54)</f>
        <v>2954</v>
      </c>
      <c r="P55" s="16">
        <f>SUBTOTAL(109,P50:P54)</f>
        <v>1</v>
      </c>
    </row>
    <row r="56" spans="1:16" x14ac:dyDescent="0.25">
      <c r="A56" s="51" t="s">
        <v>76</v>
      </c>
      <c r="B56" s="26">
        <v>163</v>
      </c>
      <c r="C56" s="26">
        <v>139</v>
      </c>
      <c r="D56" s="26">
        <v>165</v>
      </c>
      <c r="E56" s="26">
        <v>235</v>
      </c>
      <c r="F56" s="26">
        <f>Table21312[[#This Row],[Q1]]+Table21312[[#This Row],[Q2]]+Table21312[[#This Row],[Q3]]+Table21312[[#This Row],[Q4]]</f>
        <v>702</v>
      </c>
      <c r="G56" s="60">
        <f>Table21312[[#This Row],[Total]]/F55</f>
        <v>0.11892258173809928</v>
      </c>
      <c r="J56" s="51" t="s">
        <v>76</v>
      </c>
      <c r="K56" s="26">
        <v>53</v>
      </c>
      <c r="L56" s="26">
        <v>41</v>
      </c>
      <c r="M56" s="26">
        <v>63</v>
      </c>
      <c r="N56" s="26">
        <v>47</v>
      </c>
      <c r="O56" s="26">
        <f>Table2131214[[#This Row],[Q1]]+Table2131214[[#This Row],[Q2]]+Table2131214[[#This Row],[Q3]]+Table2131214[[#This Row],[Q4]]</f>
        <v>204</v>
      </c>
      <c r="P56" s="60">
        <f>Table2131214[[#This Row],[Total]]/O55</f>
        <v>6.905890318212593E-2</v>
      </c>
    </row>
    <row r="57" spans="1:16" ht="65.25" customHeight="1" x14ac:dyDescent="0.25">
      <c r="A57" s="86" t="s">
        <v>77</v>
      </c>
      <c r="B57" s="86"/>
      <c r="C57" s="86"/>
      <c r="D57" s="86"/>
      <c r="E57" s="86"/>
      <c r="F57" s="86"/>
      <c r="G57" s="86"/>
    </row>
    <row r="58" spans="1:16" ht="15.75" thickBot="1" x14ac:dyDescent="0.3">
      <c r="A58" s="85"/>
      <c r="B58" s="85"/>
      <c r="C58" s="85"/>
      <c r="D58" s="85"/>
      <c r="E58" s="85"/>
      <c r="F58" s="85"/>
      <c r="G58" s="85"/>
    </row>
    <row r="59" spans="1:16" ht="51" customHeight="1" thickBot="1" x14ac:dyDescent="0.3">
      <c r="A59" s="70" t="s">
        <v>68</v>
      </c>
      <c r="B59" s="71"/>
      <c r="C59" s="71"/>
      <c r="D59" s="71"/>
      <c r="E59" s="71"/>
      <c r="F59" s="71"/>
      <c r="G59" s="72"/>
    </row>
  </sheetData>
  <mergeCells count="9">
    <mergeCell ref="J1:P1"/>
    <mergeCell ref="A1:G1"/>
    <mergeCell ref="A48:G48"/>
    <mergeCell ref="A59:G59"/>
    <mergeCell ref="A40:G40"/>
    <mergeCell ref="A42:G42"/>
    <mergeCell ref="A41:G41"/>
    <mergeCell ref="A58:G58"/>
    <mergeCell ref="A57:G57"/>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9"/>
  <sheetViews>
    <sheetView topLeftCell="A44" workbookViewId="0">
      <selection activeCell="C145" sqref="C145:I145"/>
    </sheetView>
  </sheetViews>
  <sheetFormatPr defaultRowHeight="15" x14ac:dyDescent="0.25"/>
  <cols>
    <col min="1" max="1" width="16.5703125" bestFit="1" customWidth="1"/>
    <col min="7" max="7" width="11" customWidth="1"/>
  </cols>
  <sheetData>
    <row r="1" spans="1:18" ht="15.75" x14ac:dyDescent="0.25">
      <c r="A1" s="74" t="s">
        <v>78</v>
      </c>
      <c r="B1" s="74"/>
      <c r="C1" s="74"/>
      <c r="D1" s="74"/>
      <c r="E1" s="74"/>
      <c r="F1" s="74"/>
      <c r="G1" s="74"/>
      <c r="H1" s="1"/>
      <c r="J1" s="1"/>
      <c r="K1" s="1"/>
      <c r="L1" s="1"/>
      <c r="M1" s="1"/>
      <c r="N1" s="1"/>
      <c r="O1" s="1"/>
      <c r="P1" s="1"/>
      <c r="Q1" s="1"/>
      <c r="R1" s="1"/>
    </row>
    <row r="2" spans="1:18" x14ac:dyDescent="0.25">
      <c r="A2" t="s">
        <v>74</v>
      </c>
      <c r="B2" s="1" t="s">
        <v>3</v>
      </c>
      <c r="C2" s="1" t="s">
        <v>4</v>
      </c>
      <c r="D2" s="1" t="s">
        <v>5</v>
      </c>
      <c r="E2" s="1" t="s">
        <v>6</v>
      </c>
      <c r="F2" s="1" t="s">
        <v>7</v>
      </c>
      <c r="G2" s="1" t="s">
        <v>8</v>
      </c>
      <c r="H2" s="1"/>
      <c r="I2" s="1"/>
      <c r="J2" s="1"/>
      <c r="K2" s="1"/>
      <c r="L2" s="1"/>
      <c r="M2" s="1"/>
      <c r="N2" s="1"/>
      <c r="O2" s="1"/>
      <c r="P2" s="1"/>
      <c r="Q2" s="1"/>
      <c r="R2" s="1"/>
    </row>
    <row r="3" spans="1:18" x14ac:dyDescent="0.25">
      <c r="A3" t="s">
        <v>48</v>
      </c>
      <c r="B3" s="1">
        <f>B35+B19</f>
        <v>3535</v>
      </c>
      <c r="C3" s="1">
        <f t="shared" ref="C3:E3" si="0">C35+C19</f>
        <v>3449</v>
      </c>
      <c r="D3" s="1">
        <f t="shared" si="0"/>
        <v>4117</v>
      </c>
      <c r="E3" s="1">
        <f t="shared" si="0"/>
        <v>3415</v>
      </c>
      <c r="F3" s="1">
        <f>SUM(B3:E3)</f>
        <v>14516</v>
      </c>
      <c r="G3" s="2">
        <f>F3/$F$6</f>
        <v>0.62587849782261884</v>
      </c>
      <c r="H3" s="1"/>
      <c r="I3" s="1"/>
      <c r="J3" s="1"/>
      <c r="K3" s="1"/>
      <c r="L3" s="1"/>
      <c r="M3" s="1"/>
      <c r="N3" s="1"/>
      <c r="O3" s="1"/>
      <c r="P3" s="1"/>
      <c r="Q3" s="1"/>
      <c r="R3" s="1"/>
    </row>
    <row r="4" spans="1:18" x14ac:dyDescent="0.25">
      <c r="A4" t="s">
        <v>49</v>
      </c>
      <c r="B4" s="1">
        <f t="shared" ref="B4:E5" si="1">B36+B20</f>
        <v>1993</v>
      </c>
      <c r="C4" s="1">
        <f t="shared" si="1"/>
        <v>2055</v>
      </c>
      <c r="D4" s="1">
        <f t="shared" si="1"/>
        <v>2453</v>
      </c>
      <c r="E4" s="1">
        <f t="shared" si="1"/>
        <v>2137</v>
      </c>
      <c r="F4" s="1">
        <f t="shared" ref="F4:F5" si="2">SUM(B4:E4)</f>
        <v>8638</v>
      </c>
      <c r="G4" s="2">
        <f t="shared" ref="G4:G6" si="3">F4/$F$6</f>
        <v>0.37243996033285903</v>
      </c>
      <c r="H4" s="1"/>
      <c r="I4" s="1"/>
      <c r="J4" s="1"/>
      <c r="K4" s="1"/>
      <c r="L4" s="1"/>
      <c r="M4" s="1"/>
      <c r="N4" s="1"/>
      <c r="O4" s="1"/>
      <c r="P4" s="1"/>
      <c r="Q4" s="1"/>
      <c r="R4" s="1"/>
    </row>
    <row r="5" spans="1:18" x14ac:dyDescent="0.25">
      <c r="A5" t="s">
        <v>50</v>
      </c>
      <c r="B5" s="1">
        <f t="shared" si="1"/>
        <v>13</v>
      </c>
      <c r="C5" s="1">
        <f t="shared" si="1"/>
        <v>8</v>
      </c>
      <c r="D5" s="1">
        <f t="shared" si="1"/>
        <v>9</v>
      </c>
      <c r="E5" s="1">
        <f t="shared" si="1"/>
        <v>9</v>
      </c>
      <c r="F5" s="1">
        <f t="shared" si="2"/>
        <v>39</v>
      </c>
      <c r="G5" s="2">
        <f t="shared" si="3"/>
        <v>1.681541844522054E-3</v>
      </c>
      <c r="H5" s="1"/>
      <c r="I5" s="1"/>
      <c r="J5" s="1"/>
      <c r="K5" s="1"/>
      <c r="L5" s="1"/>
      <c r="M5" s="1"/>
      <c r="N5" s="1"/>
      <c r="O5" s="1"/>
      <c r="P5" s="1"/>
      <c r="Q5" s="1"/>
      <c r="R5" s="1"/>
    </row>
    <row r="6" spans="1:18" x14ac:dyDescent="0.25">
      <c r="A6" s="14" t="s">
        <v>7</v>
      </c>
      <c r="B6" s="15">
        <f>SUM(B3:B5)</f>
        <v>5541</v>
      </c>
      <c r="C6" s="15">
        <f t="shared" ref="C6:E6" si="4">SUM(C3:C5)</f>
        <v>5512</v>
      </c>
      <c r="D6" s="15">
        <f t="shared" si="4"/>
        <v>6579</v>
      </c>
      <c r="E6" s="15">
        <f t="shared" si="4"/>
        <v>5561</v>
      </c>
      <c r="F6" s="15">
        <f t="shared" ref="F6" si="5">SUM(F3:F5)</f>
        <v>23193</v>
      </c>
      <c r="G6" s="16">
        <f t="shared" si="3"/>
        <v>1</v>
      </c>
      <c r="H6" s="1"/>
      <c r="I6" s="1"/>
      <c r="J6" s="1"/>
      <c r="K6" s="1"/>
      <c r="L6" s="1"/>
      <c r="M6" s="1"/>
      <c r="N6" s="1"/>
      <c r="O6" s="1"/>
      <c r="P6" s="1"/>
      <c r="Q6" s="1"/>
      <c r="R6" s="1"/>
    </row>
    <row r="7" spans="1:18" x14ac:dyDescent="0.25">
      <c r="A7" s="78"/>
      <c r="B7" s="78"/>
      <c r="C7" s="78"/>
      <c r="D7" s="78"/>
      <c r="E7" s="78"/>
      <c r="F7" s="78"/>
      <c r="G7" s="78"/>
      <c r="H7" s="1"/>
      <c r="I7" s="1"/>
      <c r="J7" s="1"/>
      <c r="K7" s="1"/>
      <c r="L7" s="1"/>
      <c r="M7" s="1"/>
      <c r="N7" s="1"/>
      <c r="O7" s="1"/>
      <c r="P7" s="1"/>
      <c r="Q7" s="1"/>
      <c r="R7" s="1"/>
    </row>
    <row r="8" spans="1:18" x14ac:dyDescent="0.25">
      <c r="A8" t="s">
        <v>75</v>
      </c>
      <c r="B8" s="1" t="s">
        <v>3</v>
      </c>
      <c r="C8" s="1" t="s">
        <v>4</v>
      </c>
      <c r="D8" s="1" t="s">
        <v>5</v>
      </c>
      <c r="E8" s="1" t="s">
        <v>6</v>
      </c>
      <c r="F8" s="1" t="s">
        <v>7</v>
      </c>
      <c r="G8" s="1" t="s">
        <v>8</v>
      </c>
      <c r="H8" s="1"/>
      <c r="I8" s="1"/>
      <c r="J8" s="1"/>
      <c r="K8" s="1"/>
      <c r="L8" s="1"/>
      <c r="M8" s="1"/>
      <c r="N8" s="1"/>
      <c r="O8" s="1"/>
      <c r="P8" s="1"/>
      <c r="Q8" s="1"/>
      <c r="R8" s="1"/>
    </row>
    <row r="9" spans="1:18" x14ac:dyDescent="0.25">
      <c r="A9" t="s">
        <v>52</v>
      </c>
      <c r="B9" s="1">
        <f>B41+B25</f>
        <v>248</v>
      </c>
      <c r="C9" s="1">
        <f t="shared" ref="C9:E14" si="6">C41+C25</f>
        <v>260</v>
      </c>
      <c r="D9" s="1">
        <f t="shared" si="6"/>
        <v>293</v>
      </c>
      <c r="E9" s="1">
        <f t="shared" si="6"/>
        <v>281</v>
      </c>
      <c r="F9" s="1">
        <f>SUM(B9:E9)</f>
        <v>1082</v>
      </c>
      <c r="G9" s="2">
        <f>F9/$F$15</f>
        <v>4.6652007071099039E-2</v>
      </c>
      <c r="H9" s="1"/>
      <c r="I9" s="1"/>
      <c r="J9" s="1"/>
      <c r="K9" s="1"/>
      <c r="L9" s="1"/>
      <c r="M9" s="1"/>
      <c r="N9" s="1"/>
      <c r="O9" s="1"/>
      <c r="P9" s="1"/>
      <c r="Q9" s="1"/>
      <c r="R9" s="1"/>
    </row>
    <row r="10" spans="1:18" x14ac:dyDescent="0.25">
      <c r="A10" t="s">
        <v>53</v>
      </c>
      <c r="B10" s="1">
        <f t="shared" ref="B10:B14" si="7">B42+B26</f>
        <v>1661</v>
      </c>
      <c r="C10" s="1">
        <f t="shared" si="6"/>
        <v>1424</v>
      </c>
      <c r="D10" s="1">
        <f t="shared" si="6"/>
        <v>1692</v>
      </c>
      <c r="E10" s="1">
        <f t="shared" si="6"/>
        <v>1563</v>
      </c>
      <c r="F10" s="1">
        <f t="shared" ref="F10:F14" si="8">SUM(B10:E10)</f>
        <v>6340</v>
      </c>
      <c r="G10" s="2">
        <f t="shared" ref="G10:G15" si="9">F10/$F$15</f>
        <v>0.27335834087871341</v>
      </c>
      <c r="H10" s="1"/>
      <c r="I10" s="1"/>
      <c r="J10" s="1"/>
      <c r="K10" s="1"/>
      <c r="L10" s="1"/>
      <c r="M10" s="1"/>
      <c r="N10" s="1"/>
      <c r="O10" s="1"/>
      <c r="P10" s="1"/>
      <c r="Q10" s="1"/>
      <c r="R10" s="1"/>
    </row>
    <row r="11" spans="1:18" x14ac:dyDescent="0.25">
      <c r="A11" t="s">
        <v>76</v>
      </c>
      <c r="B11" s="1">
        <f t="shared" si="7"/>
        <v>911</v>
      </c>
      <c r="C11" s="1">
        <f t="shared" si="6"/>
        <v>913</v>
      </c>
      <c r="D11" s="1">
        <f t="shared" si="6"/>
        <v>1205</v>
      </c>
      <c r="E11" s="1">
        <f t="shared" si="6"/>
        <v>1007</v>
      </c>
      <c r="F11" s="1">
        <f t="shared" si="8"/>
        <v>4036</v>
      </c>
      <c r="G11" s="2">
        <f t="shared" si="9"/>
        <v>0.17401802267925667</v>
      </c>
      <c r="H11" s="1"/>
      <c r="I11" s="1"/>
      <c r="J11" s="1"/>
      <c r="K11" s="1"/>
      <c r="L11" s="1"/>
      <c r="M11" s="1"/>
      <c r="N11" s="1"/>
      <c r="O11" s="1"/>
      <c r="P11" s="1"/>
      <c r="Q11" s="1"/>
      <c r="R11" s="1"/>
    </row>
    <row r="12" spans="1:18" x14ac:dyDescent="0.25">
      <c r="A12" t="s">
        <v>54</v>
      </c>
      <c r="B12" s="1">
        <f t="shared" si="7"/>
        <v>36</v>
      </c>
      <c r="C12" s="1">
        <f t="shared" si="6"/>
        <v>27</v>
      </c>
      <c r="D12" s="1">
        <f t="shared" si="6"/>
        <v>30</v>
      </c>
      <c r="E12" s="1">
        <f t="shared" si="6"/>
        <v>23</v>
      </c>
      <c r="F12" s="1">
        <f t="shared" si="8"/>
        <v>116</v>
      </c>
      <c r="G12" s="2">
        <f t="shared" si="9"/>
        <v>5.001509076014315E-3</v>
      </c>
      <c r="H12" s="1"/>
      <c r="I12" s="1"/>
      <c r="J12" s="1"/>
      <c r="K12" s="1"/>
      <c r="L12" s="1"/>
      <c r="M12" s="1"/>
      <c r="N12" s="1"/>
      <c r="O12" s="1"/>
      <c r="P12" s="1"/>
      <c r="Q12" s="1"/>
      <c r="R12" s="1"/>
    </row>
    <row r="13" spans="1:18" x14ac:dyDescent="0.25">
      <c r="A13" t="s">
        <v>55</v>
      </c>
      <c r="B13" s="1">
        <f t="shared" si="7"/>
        <v>271</v>
      </c>
      <c r="C13" s="1">
        <f t="shared" si="6"/>
        <v>232</v>
      </c>
      <c r="D13" s="1">
        <f t="shared" si="6"/>
        <v>308</v>
      </c>
      <c r="E13" s="1">
        <f t="shared" si="6"/>
        <v>303</v>
      </c>
      <c r="F13" s="1">
        <f t="shared" si="8"/>
        <v>1114</v>
      </c>
      <c r="G13" s="2">
        <f t="shared" si="9"/>
        <v>4.8031733712758158E-2</v>
      </c>
      <c r="H13" s="1"/>
      <c r="I13" s="1"/>
      <c r="J13" s="1"/>
      <c r="K13" s="1"/>
      <c r="L13" s="1"/>
      <c r="M13" s="1"/>
      <c r="N13" s="1"/>
      <c r="O13" s="1"/>
      <c r="P13" s="1"/>
      <c r="Q13" s="1"/>
      <c r="R13" s="1"/>
    </row>
    <row r="14" spans="1:18" x14ac:dyDescent="0.25">
      <c r="A14" t="s">
        <v>56</v>
      </c>
      <c r="B14" s="1">
        <f t="shared" si="7"/>
        <v>2414</v>
      </c>
      <c r="C14" s="1">
        <f t="shared" si="6"/>
        <v>2656</v>
      </c>
      <c r="D14" s="1">
        <f t="shared" si="6"/>
        <v>3051</v>
      </c>
      <c r="E14" s="1">
        <f t="shared" si="6"/>
        <v>2384</v>
      </c>
      <c r="F14" s="1">
        <f t="shared" si="8"/>
        <v>10505</v>
      </c>
      <c r="G14" s="2">
        <f t="shared" si="9"/>
        <v>0.4529383865821584</v>
      </c>
      <c r="H14" s="1"/>
      <c r="I14" s="1"/>
      <c r="J14" s="1"/>
      <c r="K14" s="1"/>
      <c r="L14" s="1"/>
      <c r="M14" s="1"/>
      <c r="N14" s="1"/>
      <c r="O14" s="1"/>
      <c r="P14" s="1"/>
      <c r="Q14" s="1"/>
      <c r="R14" s="1"/>
    </row>
    <row r="15" spans="1:18" x14ac:dyDescent="0.25">
      <c r="A15" s="14" t="s">
        <v>7</v>
      </c>
      <c r="B15" s="15">
        <f>SUM(B9:B14)</f>
        <v>5541</v>
      </c>
      <c r="C15" s="15">
        <f t="shared" ref="C15:F15" si="10">SUM(C9:C14)</f>
        <v>5512</v>
      </c>
      <c r="D15" s="15">
        <f t="shared" si="10"/>
        <v>6579</v>
      </c>
      <c r="E15" s="15">
        <f t="shared" si="10"/>
        <v>5561</v>
      </c>
      <c r="F15" s="15">
        <f t="shared" si="10"/>
        <v>23193</v>
      </c>
      <c r="G15" s="16">
        <f t="shared" si="9"/>
        <v>1</v>
      </c>
      <c r="H15" s="1"/>
      <c r="I15" s="1"/>
      <c r="J15" s="1"/>
      <c r="K15" s="1"/>
      <c r="L15" s="1"/>
      <c r="M15" s="1"/>
      <c r="N15" s="1"/>
      <c r="O15" s="1"/>
      <c r="P15" s="1"/>
      <c r="Q15" s="1"/>
      <c r="R15" s="1"/>
    </row>
    <row r="16" spans="1:18" x14ac:dyDescent="0.25">
      <c r="A16" s="78"/>
      <c r="B16" s="78"/>
      <c r="C16" s="78"/>
      <c r="D16" s="78"/>
      <c r="E16" s="78"/>
      <c r="F16" s="78"/>
      <c r="G16" s="78"/>
    </row>
    <row r="17" spans="1:7" ht="15.75" x14ac:dyDescent="0.25">
      <c r="A17" s="74" t="s">
        <v>79</v>
      </c>
      <c r="B17" s="74"/>
      <c r="C17" s="74"/>
      <c r="D17" s="74"/>
      <c r="E17" s="74"/>
      <c r="F17" s="74"/>
      <c r="G17" s="74"/>
    </row>
    <row r="18" spans="1:7" x14ac:dyDescent="0.25">
      <c r="A18" t="s">
        <v>74</v>
      </c>
      <c r="B18" s="1" t="s">
        <v>3</v>
      </c>
      <c r="C18" s="1" t="s">
        <v>4</v>
      </c>
      <c r="D18" s="1" t="s">
        <v>5</v>
      </c>
      <c r="E18" s="1" t="s">
        <v>6</v>
      </c>
      <c r="F18" s="1" t="s">
        <v>7</v>
      </c>
      <c r="G18" s="1" t="s">
        <v>8</v>
      </c>
    </row>
    <row r="19" spans="1:7" x14ac:dyDescent="0.25">
      <c r="A19" t="s">
        <v>48</v>
      </c>
      <c r="B19" s="1">
        <v>1844</v>
      </c>
      <c r="C19" s="1">
        <v>2089</v>
      </c>
      <c r="D19" s="1">
        <v>2280</v>
      </c>
      <c r="E19" s="1">
        <v>1715</v>
      </c>
      <c r="F19" s="1">
        <f>SUM(B19:E19)</f>
        <v>7928</v>
      </c>
      <c r="G19" s="2">
        <f>F19/$F$22</f>
        <v>0.64555003664196731</v>
      </c>
    </row>
    <row r="20" spans="1:7" x14ac:dyDescent="0.25">
      <c r="A20" t="s">
        <v>49</v>
      </c>
      <c r="B20" s="1">
        <v>946</v>
      </c>
      <c r="C20" s="1">
        <v>1144</v>
      </c>
      <c r="D20" s="1">
        <v>1300</v>
      </c>
      <c r="E20" s="1">
        <v>957</v>
      </c>
      <c r="F20" s="1">
        <f t="shared" ref="F20:F21" si="11">SUM(B20:E20)</f>
        <v>4347</v>
      </c>
      <c r="G20" s="2">
        <f t="shared" ref="G20:G21" si="12">F20/$F$22</f>
        <v>0.35396140379447927</v>
      </c>
    </row>
    <row r="21" spans="1:7" x14ac:dyDescent="0.25">
      <c r="A21" t="s">
        <v>50</v>
      </c>
      <c r="B21" s="1">
        <v>0</v>
      </c>
      <c r="C21" s="1">
        <v>0</v>
      </c>
      <c r="D21" s="1">
        <v>4</v>
      </c>
      <c r="E21" s="1">
        <v>2</v>
      </c>
      <c r="F21" s="1">
        <f t="shared" si="11"/>
        <v>6</v>
      </c>
      <c r="G21" s="2">
        <f t="shared" si="12"/>
        <v>4.8855956355345657E-4</v>
      </c>
    </row>
    <row r="22" spans="1:7" x14ac:dyDescent="0.25">
      <c r="A22" s="14" t="s">
        <v>7</v>
      </c>
      <c r="B22" s="15">
        <f>SUM(B19:B21)</f>
        <v>2790</v>
      </c>
      <c r="C22" s="15">
        <f t="shared" ref="C22" si="13">SUM(C19:C21)</f>
        <v>3233</v>
      </c>
      <c r="D22" s="15">
        <f t="shared" ref="D22" si="14">SUM(D19:D21)</f>
        <v>3584</v>
      </c>
      <c r="E22" s="15">
        <f t="shared" ref="E22" si="15">SUM(E19:E21)</f>
        <v>2674</v>
      </c>
      <c r="F22" s="15">
        <f t="shared" ref="F22" si="16">SUM(F19:F21)</f>
        <v>12281</v>
      </c>
      <c r="G22" s="17">
        <f>SUBTOTAL(109,G19:G21)</f>
        <v>1</v>
      </c>
    </row>
    <row r="23" spans="1:7" x14ac:dyDescent="0.25">
      <c r="A23" s="78"/>
      <c r="B23" s="78"/>
      <c r="C23" s="78"/>
      <c r="D23" s="78"/>
      <c r="E23" s="78"/>
      <c r="F23" s="78"/>
      <c r="G23" s="78"/>
    </row>
    <row r="24" spans="1:7" x14ac:dyDescent="0.25">
      <c r="A24" t="s">
        <v>75</v>
      </c>
      <c r="B24" s="1" t="s">
        <v>3</v>
      </c>
      <c r="C24" s="1" t="s">
        <v>4</v>
      </c>
      <c r="D24" s="1" t="s">
        <v>5</v>
      </c>
      <c r="E24" s="1" t="s">
        <v>6</v>
      </c>
      <c r="F24" s="1" t="s">
        <v>7</v>
      </c>
      <c r="G24" s="1" t="s">
        <v>8</v>
      </c>
    </row>
    <row r="25" spans="1:7" x14ac:dyDescent="0.25">
      <c r="A25" t="s">
        <v>52</v>
      </c>
      <c r="B25" s="1">
        <v>110</v>
      </c>
      <c r="C25" s="1">
        <v>144</v>
      </c>
      <c r="D25" s="1">
        <v>166</v>
      </c>
      <c r="E25" s="1">
        <v>133</v>
      </c>
      <c r="F25" s="1">
        <f>SUM(B25:E25)</f>
        <v>553</v>
      </c>
      <c r="G25" s="2">
        <f>F25/$F$31</f>
        <v>4.5028906440843577E-2</v>
      </c>
    </row>
    <row r="26" spans="1:7" x14ac:dyDescent="0.25">
      <c r="A26" t="s">
        <v>53</v>
      </c>
      <c r="B26" s="1">
        <v>787</v>
      </c>
      <c r="C26" s="1">
        <v>804</v>
      </c>
      <c r="D26" s="1">
        <v>892</v>
      </c>
      <c r="E26" s="1">
        <v>671</v>
      </c>
      <c r="F26" s="1">
        <f t="shared" ref="F26:F30" si="17">SUM(B26:E26)</f>
        <v>3154</v>
      </c>
      <c r="G26" s="2">
        <f t="shared" ref="G26:G30" si="18">F26/$F$31</f>
        <v>0.25681947724126702</v>
      </c>
    </row>
    <row r="27" spans="1:7" x14ac:dyDescent="0.25">
      <c r="A27" t="s">
        <v>76</v>
      </c>
      <c r="B27" s="1">
        <v>479</v>
      </c>
      <c r="C27" s="1">
        <v>577</v>
      </c>
      <c r="D27" s="1">
        <v>701</v>
      </c>
      <c r="E27" s="1">
        <v>521</v>
      </c>
      <c r="F27" s="1">
        <f t="shared" si="17"/>
        <v>2278</v>
      </c>
      <c r="G27" s="2">
        <f t="shared" si="18"/>
        <v>0.18548978096246235</v>
      </c>
    </row>
    <row r="28" spans="1:7" x14ac:dyDescent="0.25">
      <c r="A28" t="s">
        <v>54</v>
      </c>
      <c r="B28" s="1">
        <v>20</v>
      </c>
      <c r="C28" s="1">
        <v>13</v>
      </c>
      <c r="D28" s="1">
        <v>14</v>
      </c>
      <c r="E28" s="1">
        <v>15</v>
      </c>
      <c r="F28" s="1">
        <f t="shared" si="17"/>
        <v>62</v>
      </c>
      <c r="G28" s="2">
        <f t="shared" si="18"/>
        <v>5.0484488233857178E-3</v>
      </c>
    </row>
    <row r="29" spans="1:7" x14ac:dyDescent="0.25">
      <c r="A29" t="s">
        <v>55</v>
      </c>
      <c r="B29" s="1">
        <v>132</v>
      </c>
      <c r="C29" s="1">
        <v>150</v>
      </c>
      <c r="D29" s="1">
        <v>156</v>
      </c>
      <c r="E29" s="1">
        <v>128</v>
      </c>
      <c r="F29" s="1">
        <f t="shared" si="17"/>
        <v>566</v>
      </c>
      <c r="G29" s="2">
        <f t="shared" si="18"/>
        <v>4.6087452161876069E-2</v>
      </c>
    </row>
    <row r="30" spans="1:7" x14ac:dyDescent="0.25">
      <c r="A30" t="s">
        <v>56</v>
      </c>
      <c r="B30" s="1">
        <v>1262</v>
      </c>
      <c r="C30" s="1">
        <v>1545</v>
      </c>
      <c r="D30" s="1">
        <v>1655</v>
      </c>
      <c r="E30" s="1">
        <v>1206</v>
      </c>
      <c r="F30" s="1">
        <f t="shared" si="17"/>
        <v>5668</v>
      </c>
      <c r="G30" s="2">
        <f t="shared" si="18"/>
        <v>0.46152593437016531</v>
      </c>
    </row>
    <row r="31" spans="1:7" x14ac:dyDescent="0.25">
      <c r="A31" s="14" t="s">
        <v>7</v>
      </c>
      <c r="B31" s="15">
        <f>SUM(B25:B30)</f>
        <v>2790</v>
      </c>
      <c r="C31" s="15">
        <f t="shared" ref="C31" si="19">SUM(C25:C30)</f>
        <v>3233</v>
      </c>
      <c r="D31" s="15">
        <f t="shared" ref="D31" si="20">SUM(D25:D30)</f>
        <v>3584</v>
      </c>
      <c r="E31" s="15">
        <f t="shared" ref="E31" si="21">SUM(E25:E30)</f>
        <v>2674</v>
      </c>
      <c r="F31" s="15">
        <f t="shared" ref="F31" si="22">SUM(F25:F30)</f>
        <v>12281</v>
      </c>
      <c r="G31" s="16">
        <f>SUBTOTAL(109,G25:G30)</f>
        <v>1</v>
      </c>
    </row>
    <row r="32" spans="1:7" x14ac:dyDescent="0.25">
      <c r="A32" s="78"/>
      <c r="B32" s="78"/>
      <c r="C32" s="78"/>
      <c r="D32" s="78"/>
      <c r="E32" s="78"/>
      <c r="F32" s="78"/>
      <c r="G32" s="78"/>
    </row>
    <row r="33" spans="1:7" ht="15.75" x14ac:dyDescent="0.25">
      <c r="A33" s="74" t="s">
        <v>80</v>
      </c>
      <c r="B33" s="74"/>
      <c r="C33" s="74"/>
      <c r="D33" s="74"/>
      <c r="E33" s="74"/>
      <c r="F33" s="74"/>
      <c r="G33" s="74"/>
    </row>
    <row r="34" spans="1:7" x14ac:dyDescent="0.25">
      <c r="A34" t="s">
        <v>74</v>
      </c>
      <c r="B34" s="1" t="s">
        <v>3</v>
      </c>
      <c r="C34" s="1" t="s">
        <v>4</v>
      </c>
      <c r="D34" s="1" t="s">
        <v>5</v>
      </c>
      <c r="E34" s="1" t="s">
        <v>6</v>
      </c>
      <c r="F34" s="1" t="s">
        <v>7</v>
      </c>
      <c r="G34" s="1" t="s">
        <v>8</v>
      </c>
    </row>
    <row r="35" spans="1:7" x14ac:dyDescent="0.25">
      <c r="A35" t="s">
        <v>48</v>
      </c>
      <c r="B35" s="1">
        <v>1691</v>
      </c>
      <c r="C35" s="1">
        <v>1360</v>
      </c>
      <c r="D35" s="1">
        <v>1837</v>
      </c>
      <c r="E35" s="1">
        <v>1700</v>
      </c>
      <c r="F35" s="1">
        <f>SUM(B35:E35)</f>
        <v>6588</v>
      </c>
      <c r="G35" s="2">
        <f>F35/$F$38</f>
        <v>0.60373900293255134</v>
      </c>
    </row>
    <row r="36" spans="1:7" x14ac:dyDescent="0.25">
      <c r="A36" t="s">
        <v>49</v>
      </c>
      <c r="B36" s="1">
        <v>1047</v>
      </c>
      <c r="C36" s="1">
        <v>911</v>
      </c>
      <c r="D36" s="1">
        <v>1153</v>
      </c>
      <c r="E36" s="1">
        <v>1180</v>
      </c>
      <c r="F36" s="1">
        <f t="shared" ref="F36:F37" si="23">SUM(B36:E36)</f>
        <v>4291</v>
      </c>
      <c r="G36" s="2">
        <f t="shared" ref="G36:G37" si="24">F36/$F$38</f>
        <v>0.3932368035190616</v>
      </c>
    </row>
    <row r="37" spans="1:7" x14ac:dyDescent="0.25">
      <c r="A37" t="s">
        <v>50</v>
      </c>
      <c r="B37" s="1">
        <v>13</v>
      </c>
      <c r="C37" s="1">
        <v>8</v>
      </c>
      <c r="D37" s="1">
        <v>5</v>
      </c>
      <c r="E37" s="1">
        <v>7</v>
      </c>
      <c r="F37" s="1">
        <f t="shared" si="23"/>
        <v>33</v>
      </c>
      <c r="G37" s="2">
        <f t="shared" si="24"/>
        <v>3.0241935483870967E-3</v>
      </c>
    </row>
    <row r="38" spans="1:7" x14ac:dyDescent="0.25">
      <c r="A38" s="14" t="s">
        <v>7</v>
      </c>
      <c r="B38" s="15">
        <f>SUM(B35:B37)</f>
        <v>2751</v>
      </c>
      <c r="C38" s="15">
        <f t="shared" ref="C38" si="25">SUM(C35:C37)</f>
        <v>2279</v>
      </c>
      <c r="D38" s="15">
        <f t="shared" ref="D38" si="26">SUM(D35:D37)</f>
        <v>2995</v>
      </c>
      <c r="E38" s="15">
        <f t="shared" ref="E38" si="27">SUM(E35:E37)</f>
        <v>2887</v>
      </c>
      <c r="F38" s="15">
        <f t="shared" ref="F38" si="28">SUM(F35:F37)</f>
        <v>10912</v>
      </c>
      <c r="G38" s="17">
        <f>SUBTOTAL(109,G35:G37)</f>
        <v>1</v>
      </c>
    </row>
    <row r="39" spans="1:7" x14ac:dyDescent="0.25">
      <c r="A39" s="78"/>
      <c r="B39" s="78"/>
      <c r="C39" s="78"/>
      <c r="D39" s="78"/>
      <c r="E39" s="78"/>
      <c r="F39" s="78"/>
      <c r="G39" s="78"/>
    </row>
    <row r="40" spans="1:7" x14ac:dyDescent="0.25">
      <c r="A40" t="s">
        <v>75</v>
      </c>
      <c r="B40" s="1" t="s">
        <v>3</v>
      </c>
      <c r="C40" s="1" t="s">
        <v>4</v>
      </c>
      <c r="D40" s="1" t="s">
        <v>5</v>
      </c>
      <c r="E40" s="1" t="s">
        <v>6</v>
      </c>
      <c r="F40" s="1" t="s">
        <v>7</v>
      </c>
      <c r="G40" s="1" t="s">
        <v>8</v>
      </c>
    </row>
    <row r="41" spans="1:7" x14ac:dyDescent="0.25">
      <c r="A41" t="s">
        <v>52</v>
      </c>
      <c r="B41" s="1">
        <v>138</v>
      </c>
      <c r="C41" s="1">
        <v>116</v>
      </c>
      <c r="D41" s="1">
        <v>127</v>
      </c>
      <c r="E41" s="1">
        <v>148</v>
      </c>
      <c r="F41" s="1">
        <f>SUM(B41:E41)</f>
        <v>529</v>
      </c>
      <c r="G41" s="2">
        <f>F41/$F$47</f>
        <v>4.847873900293255E-2</v>
      </c>
    </row>
    <row r="42" spans="1:7" x14ac:dyDescent="0.25">
      <c r="A42" t="s">
        <v>53</v>
      </c>
      <c r="B42" s="1">
        <v>874</v>
      </c>
      <c r="C42" s="1">
        <v>620</v>
      </c>
      <c r="D42" s="1">
        <v>800</v>
      </c>
      <c r="E42" s="1">
        <v>892</v>
      </c>
      <c r="F42" s="1">
        <f t="shared" ref="F42:F46" si="29">SUM(B42:E42)</f>
        <v>3186</v>
      </c>
      <c r="G42" s="2">
        <f t="shared" ref="G42:G46" si="30">F42/$F$47</f>
        <v>0.29197214076246336</v>
      </c>
    </row>
    <row r="43" spans="1:7" x14ac:dyDescent="0.25">
      <c r="A43" t="s">
        <v>76</v>
      </c>
      <c r="B43" s="1">
        <v>432</v>
      </c>
      <c r="C43" s="1">
        <v>336</v>
      </c>
      <c r="D43" s="1">
        <v>504</v>
      </c>
      <c r="E43" s="1">
        <v>486</v>
      </c>
      <c r="F43" s="1">
        <f t="shared" si="29"/>
        <v>1758</v>
      </c>
      <c r="G43" s="2">
        <f t="shared" si="30"/>
        <v>0.16110703812316715</v>
      </c>
    </row>
    <row r="44" spans="1:7" x14ac:dyDescent="0.25">
      <c r="A44" t="s">
        <v>54</v>
      </c>
      <c r="B44" s="1">
        <v>16</v>
      </c>
      <c r="C44" s="1">
        <v>14</v>
      </c>
      <c r="D44" s="1">
        <v>16</v>
      </c>
      <c r="E44" s="1">
        <v>8</v>
      </c>
      <c r="F44" s="1">
        <f t="shared" si="29"/>
        <v>54</v>
      </c>
      <c r="G44" s="2">
        <f t="shared" si="30"/>
        <v>4.9486803519061583E-3</v>
      </c>
    </row>
    <row r="45" spans="1:7" x14ac:dyDescent="0.25">
      <c r="A45" t="s">
        <v>55</v>
      </c>
      <c r="B45" s="1">
        <v>139</v>
      </c>
      <c r="C45" s="1">
        <v>82</v>
      </c>
      <c r="D45" s="1">
        <v>152</v>
      </c>
      <c r="E45" s="1">
        <v>175</v>
      </c>
      <c r="F45" s="1">
        <f t="shared" si="29"/>
        <v>548</v>
      </c>
      <c r="G45" s="2">
        <f t="shared" si="30"/>
        <v>5.0219941348973604E-2</v>
      </c>
    </row>
    <row r="46" spans="1:7" x14ac:dyDescent="0.25">
      <c r="A46" t="s">
        <v>56</v>
      </c>
      <c r="B46" s="1">
        <v>1152</v>
      </c>
      <c r="C46" s="1">
        <v>1111</v>
      </c>
      <c r="D46" s="1">
        <v>1396</v>
      </c>
      <c r="E46" s="1">
        <v>1178</v>
      </c>
      <c r="F46" s="1">
        <f t="shared" si="29"/>
        <v>4837</v>
      </c>
      <c r="G46" s="2">
        <f t="shared" si="30"/>
        <v>0.44327346041055721</v>
      </c>
    </row>
    <row r="47" spans="1:7" x14ac:dyDescent="0.25">
      <c r="A47" s="14" t="s">
        <v>7</v>
      </c>
      <c r="B47" s="15">
        <f>SUM(B41:B46)</f>
        <v>2751</v>
      </c>
      <c r="C47" s="15">
        <f t="shared" ref="C47" si="31">SUM(C41:C46)</f>
        <v>2279</v>
      </c>
      <c r="D47" s="15">
        <f t="shared" ref="D47" si="32">SUM(D41:D46)</f>
        <v>2995</v>
      </c>
      <c r="E47" s="15">
        <f t="shared" ref="E47" si="33">SUM(E41:E46)</f>
        <v>2887</v>
      </c>
      <c r="F47" s="15">
        <f t="shared" ref="F47" si="34">SUM(F41:F46)</f>
        <v>10912</v>
      </c>
      <c r="G47" s="16">
        <f>SUBTOTAL(109,G41:G46)</f>
        <v>1</v>
      </c>
    </row>
    <row r="48" spans="1:7" ht="15.75" thickBot="1" x14ac:dyDescent="0.3">
      <c r="A48" s="78"/>
      <c r="B48" s="78"/>
      <c r="C48" s="78"/>
      <c r="D48" s="78"/>
      <c r="E48" s="78"/>
      <c r="F48" s="78"/>
      <c r="G48" s="78"/>
    </row>
    <row r="49" spans="1:7" ht="60" customHeight="1" thickBot="1" x14ac:dyDescent="0.3">
      <c r="A49" s="70" t="s">
        <v>68</v>
      </c>
      <c r="B49" s="71"/>
      <c r="C49" s="71"/>
      <c r="D49" s="71"/>
      <c r="E49" s="71"/>
      <c r="F49" s="71"/>
      <c r="G49" s="72"/>
    </row>
  </sheetData>
  <mergeCells count="10">
    <mergeCell ref="A49:G49"/>
    <mergeCell ref="A16:G16"/>
    <mergeCell ref="A7:G7"/>
    <mergeCell ref="A32:G32"/>
    <mergeCell ref="A1:G1"/>
    <mergeCell ref="A17:G17"/>
    <mergeCell ref="A23:G23"/>
    <mergeCell ref="A39:G39"/>
    <mergeCell ref="A33:G33"/>
    <mergeCell ref="A48:G48"/>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48"/>
  <sheetViews>
    <sheetView topLeftCell="A122" workbookViewId="0">
      <selection activeCell="F133" sqref="F133"/>
    </sheetView>
  </sheetViews>
  <sheetFormatPr defaultColWidth="9.140625" defaultRowHeight="15" x14ac:dyDescent="0.25"/>
  <cols>
    <col min="1" max="2" width="3.7109375" bestFit="1" customWidth="1"/>
    <col min="3" max="3" width="27.85546875" bestFit="1" customWidth="1"/>
    <col min="4" max="4" width="16.28515625" customWidth="1"/>
    <col min="5" max="5" width="11.5703125" bestFit="1" customWidth="1"/>
    <col min="6" max="9" width="11" customWidth="1"/>
    <col min="10" max="10" width="8.42578125" customWidth="1"/>
    <col min="12" max="12" width="13.140625" bestFit="1" customWidth="1"/>
  </cols>
  <sheetData>
    <row r="1" spans="2:12" ht="15.75" x14ac:dyDescent="0.25">
      <c r="C1" s="74" t="s">
        <v>81</v>
      </c>
      <c r="D1" s="74"/>
      <c r="E1" s="74"/>
      <c r="F1" s="74"/>
      <c r="G1" s="74"/>
      <c r="H1" s="74"/>
      <c r="I1" s="74"/>
    </row>
    <row r="2" spans="2:12" s="7" customFormat="1" ht="15.75" customHeight="1" x14ac:dyDescent="0.25">
      <c r="C2" s="91"/>
      <c r="D2" s="91"/>
      <c r="E2" s="91"/>
      <c r="F2" s="91"/>
      <c r="G2" s="91"/>
      <c r="H2" s="91"/>
      <c r="I2" s="91"/>
    </row>
    <row r="3" spans="2:12" s="28" customFormat="1" ht="15.75" customHeight="1" x14ac:dyDescent="0.25">
      <c r="C3" s="92" t="s">
        <v>82</v>
      </c>
      <c r="D3" s="90"/>
      <c r="E3" s="90"/>
      <c r="F3" s="90"/>
      <c r="G3" s="90"/>
      <c r="H3" s="90"/>
      <c r="I3" s="93"/>
    </row>
    <row r="4" spans="2:12" s="28" customFormat="1" ht="15.75" customHeight="1" x14ac:dyDescent="0.25">
      <c r="C4" s="94"/>
      <c r="D4" s="95"/>
      <c r="E4" s="95"/>
      <c r="F4" s="95"/>
      <c r="G4" s="95"/>
      <c r="H4" s="95"/>
      <c r="I4" s="96"/>
    </row>
    <row r="5" spans="2:12" s="28" customFormat="1" ht="15.75" customHeight="1" x14ac:dyDescent="0.25">
      <c r="C5" s="94"/>
      <c r="D5" s="95"/>
      <c r="E5" s="95"/>
      <c r="F5" s="95"/>
      <c r="G5" s="95"/>
      <c r="H5" s="95"/>
      <c r="I5" s="96"/>
      <c r="L5" s="46"/>
    </row>
    <row r="6" spans="2:12" s="28" customFormat="1" ht="15.75" customHeight="1" x14ac:dyDescent="0.25">
      <c r="C6" s="94"/>
      <c r="D6" s="95"/>
      <c r="E6" s="95"/>
      <c r="F6" s="95"/>
      <c r="G6" s="95"/>
      <c r="H6" s="95"/>
      <c r="I6" s="96"/>
    </row>
    <row r="7" spans="2:12" s="28" customFormat="1" ht="24.75" customHeight="1" x14ac:dyDescent="0.25">
      <c r="C7" s="97"/>
      <c r="D7" s="98"/>
      <c r="E7" s="98"/>
      <c r="F7" s="98"/>
      <c r="G7" s="98"/>
      <c r="H7" s="98"/>
      <c r="I7" s="99"/>
    </row>
    <row r="8" spans="2:12" s="28" customFormat="1" ht="15.75" customHeight="1" x14ac:dyDescent="0.25">
      <c r="C8" s="90"/>
      <c r="D8" s="90"/>
      <c r="E8" s="90"/>
      <c r="F8" s="90"/>
      <c r="G8" s="90"/>
      <c r="H8" s="90"/>
      <c r="I8" s="90"/>
    </row>
    <row r="9" spans="2:12" s="28" customFormat="1" ht="15.75" customHeight="1" x14ac:dyDescent="0.25">
      <c r="C9" s="43" t="s">
        <v>83</v>
      </c>
      <c r="D9" s="41" t="s">
        <v>3</v>
      </c>
      <c r="E9" s="41" t="s">
        <v>4</v>
      </c>
      <c r="F9" s="41" t="s">
        <v>5</v>
      </c>
      <c r="G9" s="41" t="s">
        <v>6</v>
      </c>
      <c r="H9" s="42" t="s">
        <v>7</v>
      </c>
      <c r="I9" s="42" t="s">
        <v>84</v>
      </c>
    </row>
    <row r="10" spans="2:12" s="28" customFormat="1" ht="15.75" customHeight="1" x14ac:dyDescent="0.25">
      <c r="C10" s="44" t="s">
        <v>85</v>
      </c>
      <c r="D10" s="40">
        <v>34188</v>
      </c>
      <c r="E10" s="40">
        <v>38202</v>
      </c>
      <c r="F10" s="40">
        <v>40532</v>
      </c>
      <c r="G10" s="40">
        <v>35473</v>
      </c>
      <c r="H10" s="64">
        <f>SUM(Table9[[#This Row],[Q1]:[Q4]])</f>
        <v>148395</v>
      </c>
      <c r="I10" s="64"/>
    </row>
    <row r="11" spans="2:12" s="28" customFormat="1" ht="30" x14ac:dyDescent="0.25">
      <c r="C11" s="44" t="s">
        <v>86</v>
      </c>
      <c r="D11" s="40">
        <v>77</v>
      </c>
      <c r="E11" s="40">
        <v>93</v>
      </c>
      <c r="F11" s="40">
        <v>77</v>
      </c>
      <c r="G11" s="40">
        <v>58</v>
      </c>
      <c r="H11" s="64">
        <f>SUM(Table9[[#This Row],[Q1]:[Q4]])</f>
        <v>305</v>
      </c>
      <c r="I11" s="64"/>
    </row>
    <row r="12" spans="2:12" s="28" customFormat="1" ht="30" x14ac:dyDescent="0.25">
      <c r="C12" s="44" t="s">
        <v>87</v>
      </c>
      <c r="D12" s="45">
        <f>D11/D10</f>
        <v>2.2522522522522522E-3</v>
      </c>
      <c r="E12" s="45">
        <f t="shared" ref="E12:H12" si="0">E11/E10</f>
        <v>2.4344275168839326E-3</v>
      </c>
      <c r="F12" s="45">
        <f t="shared" si="0"/>
        <v>1.8997335438665746E-3</v>
      </c>
      <c r="G12" s="45">
        <f t="shared" si="0"/>
        <v>1.6350463732980013E-3</v>
      </c>
      <c r="H12" s="45">
        <f t="shared" si="0"/>
        <v>2.0553253141952221E-3</v>
      </c>
      <c r="I12" s="64"/>
    </row>
    <row r="13" spans="2:12" s="28" customFormat="1" ht="38.25" customHeight="1" x14ac:dyDescent="0.25">
      <c r="C13" s="100" t="s">
        <v>88</v>
      </c>
      <c r="D13" s="101"/>
      <c r="E13" s="101"/>
      <c r="F13" s="101"/>
      <c r="G13" s="101"/>
      <c r="H13" s="101"/>
      <c r="I13" s="102"/>
      <c r="J13" s="53"/>
    </row>
    <row r="14" spans="2:12" s="28" customFormat="1" ht="15.75" x14ac:dyDescent="0.25">
      <c r="B14" s="55"/>
      <c r="C14" s="104"/>
      <c r="D14" s="105"/>
      <c r="E14" s="105"/>
      <c r="F14" s="105"/>
      <c r="G14" s="105"/>
      <c r="H14" s="105"/>
      <c r="I14" s="106"/>
      <c r="J14" s="54"/>
    </row>
    <row r="15" spans="2:12" x14ac:dyDescent="0.25">
      <c r="C15" t="s">
        <v>89</v>
      </c>
      <c r="D15" s="1" t="s">
        <v>3</v>
      </c>
      <c r="E15" s="1" t="s">
        <v>4</v>
      </c>
      <c r="F15" s="1" t="s">
        <v>5</v>
      </c>
      <c r="G15" s="1" t="s">
        <v>6</v>
      </c>
      <c r="H15" s="1" t="s">
        <v>7</v>
      </c>
      <c r="I15" s="1" t="s">
        <v>8</v>
      </c>
    </row>
    <row r="16" spans="2:12" ht="67.5" customHeight="1" x14ac:dyDescent="0.25">
      <c r="C16" s="11" t="s">
        <v>90</v>
      </c>
      <c r="D16" s="8">
        <v>71</v>
      </c>
      <c r="E16" s="8">
        <v>80</v>
      </c>
      <c r="F16" s="8">
        <v>62</v>
      </c>
      <c r="G16" s="8">
        <v>53</v>
      </c>
      <c r="H16" s="8">
        <f t="shared" ref="H16:H25" si="1">SUM(D16:G16)</f>
        <v>266</v>
      </c>
      <c r="I16" s="10">
        <f>Table15212732[[#This Row],[Total]]/$H$26</f>
        <v>0.67171717171717171</v>
      </c>
    </row>
    <row r="17" spans="3:9" s="6" customFormat="1" ht="65.25" customHeight="1" x14ac:dyDescent="0.25">
      <c r="C17" s="11" t="s">
        <v>91</v>
      </c>
      <c r="D17" s="63">
        <v>9</v>
      </c>
      <c r="E17" s="63">
        <v>7</v>
      </c>
      <c r="F17" s="63">
        <v>12</v>
      </c>
      <c r="G17" s="63">
        <v>16</v>
      </c>
      <c r="H17" s="8">
        <f t="shared" si="1"/>
        <v>44</v>
      </c>
      <c r="I17" s="10">
        <f>Table15212732[[#This Row],[Total]]/$H$26</f>
        <v>0.1111111111111111</v>
      </c>
    </row>
    <row r="18" spans="3:9" x14ac:dyDescent="0.25">
      <c r="C18" s="9" t="s">
        <v>92</v>
      </c>
      <c r="D18" s="8">
        <v>1</v>
      </c>
      <c r="E18" s="8">
        <v>8</v>
      </c>
      <c r="F18" s="8">
        <v>9</v>
      </c>
      <c r="G18" s="8">
        <v>6</v>
      </c>
      <c r="H18" s="8">
        <f t="shared" si="1"/>
        <v>24</v>
      </c>
      <c r="I18" s="10">
        <f>Table15212732[[#This Row],[Total]]/$H$26</f>
        <v>6.0606060606060608E-2</v>
      </c>
    </row>
    <row r="19" spans="3:9" s="6" customFormat="1" ht="79.5" customHeight="1" x14ac:dyDescent="0.25">
      <c r="C19" s="11" t="s">
        <v>93</v>
      </c>
      <c r="D19" s="63">
        <v>11</v>
      </c>
      <c r="E19" s="63">
        <v>6</v>
      </c>
      <c r="F19" s="63">
        <v>13</v>
      </c>
      <c r="G19" s="63">
        <v>7</v>
      </c>
      <c r="H19" s="8">
        <f t="shared" si="1"/>
        <v>37</v>
      </c>
      <c r="I19" s="10">
        <f>Table15212732[[#This Row],[Total]]/$H$26</f>
        <v>9.3434343434343439E-2</v>
      </c>
    </row>
    <row r="20" spans="3:9" ht="33" customHeight="1" x14ac:dyDescent="0.25">
      <c r="C20" s="11" t="s">
        <v>94</v>
      </c>
      <c r="D20" s="63">
        <v>2</v>
      </c>
      <c r="E20" s="63">
        <v>2</v>
      </c>
      <c r="F20" s="63">
        <v>1</v>
      </c>
      <c r="G20" s="63">
        <v>2</v>
      </c>
      <c r="H20" s="8">
        <f t="shared" si="1"/>
        <v>7</v>
      </c>
      <c r="I20" s="25">
        <f>Table15212732[[#This Row],[Total]]/$H$26</f>
        <v>1.7676767676767676E-2</v>
      </c>
    </row>
    <row r="21" spans="3:9" x14ac:dyDescent="0.25">
      <c r="C21" s="9" t="s">
        <v>95</v>
      </c>
      <c r="D21" s="8">
        <v>0</v>
      </c>
      <c r="E21" s="8">
        <v>2</v>
      </c>
      <c r="F21" s="8">
        <v>0</v>
      </c>
      <c r="G21" s="8">
        <v>0</v>
      </c>
      <c r="H21" s="8">
        <f t="shared" si="1"/>
        <v>2</v>
      </c>
      <c r="I21" s="10">
        <f>Table15212732[[#This Row],[Total]]/$H$26</f>
        <v>5.0505050505050509E-3</v>
      </c>
    </row>
    <row r="22" spans="3:9" x14ac:dyDescent="0.25">
      <c r="C22" s="9" t="s">
        <v>96</v>
      </c>
      <c r="D22" s="1">
        <v>3</v>
      </c>
      <c r="E22" s="8">
        <v>1</v>
      </c>
      <c r="F22" s="1">
        <v>4</v>
      </c>
      <c r="G22" s="1">
        <v>2</v>
      </c>
      <c r="H22" s="8">
        <f t="shared" si="1"/>
        <v>10</v>
      </c>
      <c r="I22" s="29">
        <f>Table15212732[[#This Row],[Total]]/$H$26</f>
        <v>2.5252525252525252E-2</v>
      </c>
    </row>
    <row r="23" spans="3:9" s="6" customFormat="1" ht="30" x14ac:dyDescent="0.25">
      <c r="C23" s="11" t="s">
        <v>97</v>
      </c>
      <c r="D23" s="63">
        <v>0</v>
      </c>
      <c r="E23" s="63">
        <v>0</v>
      </c>
      <c r="F23" s="63">
        <v>1</v>
      </c>
      <c r="G23" s="63">
        <v>0</v>
      </c>
      <c r="H23" s="8">
        <f t="shared" si="1"/>
        <v>1</v>
      </c>
      <c r="I23" s="25">
        <f>Table15212732[[#This Row],[Total]]/$H$26</f>
        <v>2.5252525252525255E-3</v>
      </c>
    </row>
    <row r="24" spans="3:9" s="6" customFormat="1" ht="60" x14ac:dyDescent="0.25">
      <c r="C24" s="11" t="s">
        <v>98</v>
      </c>
      <c r="D24" s="8">
        <v>0</v>
      </c>
      <c r="E24" s="8">
        <v>3</v>
      </c>
      <c r="F24" s="8">
        <v>2</v>
      </c>
      <c r="G24" s="8">
        <v>0</v>
      </c>
      <c r="H24" s="8">
        <f t="shared" si="1"/>
        <v>5</v>
      </c>
      <c r="I24" s="61">
        <f>Table15212732[[#This Row],[Total]]/$H$26</f>
        <v>1.2626262626262626E-2</v>
      </c>
    </row>
    <row r="25" spans="3:9" x14ac:dyDescent="0.25">
      <c r="C25" s="11" t="s">
        <v>99</v>
      </c>
      <c r="D25" s="1">
        <v>0</v>
      </c>
      <c r="E25" s="1">
        <v>0</v>
      </c>
      <c r="F25" s="1">
        <v>0</v>
      </c>
      <c r="G25" s="1">
        <v>0</v>
      </c>
      <c r="H25" s="8">
        <f t="shared" si="1"/>
        <v>0</v>
      </c>
      <c r="I25" s="2">
        <f>Table15212732[[#This Row],[Total]]/$H$26</f>
        <v>0</v>
      </c>
    </row>
    <row r="26" spans="3:9" x14ac:dyDescent="0.25">
      <c r="C26" s="14" t="s">
        <v>7</v>
      </c>
      <c r="D26" s="22">
        <f>SUBTOTAL(109,D16:D25)</f>
        <v>97</v>
      </c>
      <c r="E26" s="22">
        <f t="shared" ref="E26:H26" si="2">SUBTOTAL(109,E16:E25)</f>
        <v>109</v>
      </c>
      <c r="F26" s="22">
        <f t="shared" si="2"/>
        <v>104</v>
      </c>
      <c r="G26" s="22">
        <f t="shared" si="2"/>
        <v>86</v>
      </c>
      <c r="H26" s="22">
        <f t="shared" si="2"/>
        <v>396</v>
      </c>
      <c r="I26" s="23">
        <f>Table15212732[[#This Row],[Total]]/$H$26</f>
        <v>1</v>
      </c>
    </row>
    <row r="27" spans="3:9" ht="45" x14ac:dyDescent="0.25">
      <c r="C27" s="11" t="s">
        <v>100</v>
      </c>
      <c r="D27" s="8">
        <v>16</v>
      </c>
      <c r="E27" s="8">
        <v>23</v>
      </c>
      <c r="F27" s="8">
        <v>11</v>
      </c>
      <c r="G27" s="8">
        <v>30</v>
      </c>
      <c r="H27" s="8">
        <f t="shared" ref="H27" si="3">SUM(D27:G27)</f>
        <v>80</v>
      </c>
      <c r="I27" s="62"/>
    </row>
    <row r="28" spans="3:9" x14ac:dyDescent="0.25">
      <c r="C28" s="78"/>
      <c r="D28" s="78"/>
      <c r="E28" s="78"/>
      <c r="F28" s="78"/>
      <c r="G28" s="78"/>
      <c r="H28" s="78"/>
      <c r="I28" s="78"/>
    </row>
    <row r="29" spans="3:9" x14ac:dyDescent="0.25">
      <c r="C29" t="s">
        <v>101</v>
      </c>
      <c r="D29" s="1" t="s">
        <v>3</v>
      </c>
      <c r="E29" s="1" t="s">
        <v>4</v>
      </c>
      <c r="F29" s="1" t="s">
        <v>5</v>
      </c>
      <c r="G29" s="1" t="s">
        <v>6</v>
      </c>
      <c r="H29" s="1" t="s">
        <v>7</v>
      </c>
      <c r="I29" s="1" t="s">
        <v>8</v>
      </c>
    </row>
    <row r="30" spans="3:9" x14ac:dyDescent="0.25">
      <c r="C30" t="s">
        <v>62</v>
      </c>
      <c r="D30" s="1">
        <v>6</v>
      </c>
      <c r="E30" s="1">
        <v>6</v>
      </c>
      <c r="F30" s="1">
        <v>6</v>
      </c>
      <c r="G30" s="1">
        <v>5</v>
      </c>
      <c r="H30" s="1">
        <f>SUM(D30:G30)</f>
        <v>23</v>
      </c>
      <c r="I30" s="2">
        <f>H30/$H$38</f>
        <v>7.5409836065573776E-2</v>
      </c>
    </row>
    <row r="31" spans="3:9" x14ac:dyDescent="0.25">
      <c r="C31" t="s">
        <v>63</v>
      </c>
      <c r="D31" s="1">
        <v>8</v>
      </c>
      <c r="E31" s="1">
        <v>12</v>
      </c>
      <c r="F31" s="1">
        <v>15</v>
      </c>
      <c r="G31" s="1">
        <v>6</v>
      </c>
      <c r="H31" s="1">
        <f t="shared" ref="H31:H37" si="4">SUM(D31:G31)</f>
        <v>41</v>
      </c>
      <c r="I31" s="2">
        <f t="shared" ref="I31:I37" si="5">H31/$H$38</f>
        <v>0.13442622950819672</v>
      </c>
    </row>
    <row r="32" spans="3:9" x14ac:dyDescent="0.25">
      <c r="C32" t="s">
        <v>64</v>
      </c>
      <c r="D32" s="1">
        <v>4</v>
      </c>
      <c r="E32" s="1">
        <v>7</v>
      </c>
      <c r="F32" s="1">
        <v>9</v>
      </c>
      <c r="G32" s="1">
        <v>7</v>
      </c>
      <c r="H32" s="1">
        <f t="shared" si="4"/>
        <v>27</v>
      </c>
      <c r="I32" s="2">
        <f t="shared" si="5"/>
        <v>8.8524590163934422E-2</v>
      </c>
    </row>
    <row r="33" spans="3:9" x14ac:dyDescent="0.25">
      <c r="C33" t="s">
        <v>65</v>
      </c>
      <c r="D33" s="1">
        <v>25</v>
      </c>
      <c r="E33" s="1">
        <v>37</v>
      </c>
      <c r="F33" s="1">
        <v>23</v>
      </c>
      <c r="G33" s="1">
        <v>21</v>
      </c>
      <c r="H33" s="1">
        <f t="shared" si="4"/>
        <v>106</v>
      </c>
      <c r="I33" s="2">
        <f t="shared" si="5"/>
        <v>0.34754098360655739</v>
      </c>
    </row>
    <row r="34" spans="3:9" x14ac:dyDescent="0.25">
      <c r="C34" t="s">
        <v>66</v>
      </c>
      <c r="D34" s="1">
        <v>14</v>
      </c>
      <c r="E34" s="1">
        <v>18</v>
      </c>
      <c r="F34" s="1">
        <v>11</v>
      </c>
      <c r="G34" s="1">
        <v>10</v>
      </c>
      <c r="H34" s="1">
        <f t="shared" si="4"/>
        <v>53</v>
      </c>
      <c r="I34" s="2">
        <f t="shared" si="5"/>
        <v>0.17377049180327869</v>
      </c>
    </row>
    <row r="35" spans="3:9" x14ac:dyDescent="0.25">
      <c r="C35" t="s">
        <v>67</v>
      </c>
      <c r="D35" s="1">
        <v>19</v>
      </c>
      <c r="E35" s="1">
        <v>12</v>
      </c>
      <c r="F35" s="1">
        <v>10</v>
      </c>
      <c r="G35" s="1">
        <v>9</v>
      </c>
      <c r="H35" s="1">
        <f t="shared" si="4"/>
        <v>50</v>
      </c>
      <c r="I35" s="2">
        <f t="shared" si="5"/>
        <v>0.16393442622950818</v>
      </c>
    </row>
    <row r="36" spans="3:9" x14ac:dyDescent="0.25">
      <c r="C36" t="s">
        <v>102</v>
      </c>
      <c r="D36" s="1">
        <v>0</v>
      </c>
      <c r="E36" s="1">
        <v>0</v>
      </c>
      <c r="F36" s="1">
        <v>0</v>
      </c>
      <c r="G36" s="1">
        <v>0</v>
      </c>
      <c r="H36" s="1">
        <f t="shared" si="4"/>
        <v>0</v>
      </c>
      <c r="I36" s="2">
        <f t="shared" si="5"/>
        <v>0</v>
      </c>
    </row>
    <row r="37" spans="3:9" x14ac:dyDescent="0.25">
      <c r="C37" t="s">
        <v>103</v>
      </c>
      <c r="D37" s="1">
        <v>1</v>
      </c>
      <c r="E37" s="1">
        <v>1</v>
      </c>
      <c r="F37" s="1">
        <v>3</v>
      </c>
      <c r="G37" s="1">
        <v>0</v>
      </c>
      <c r="H37" s="1">
        <f t="shared" si="4"/>
        <v>5</v>
      </c>
      <c r="I37" s="2">
        <f t="shared" si="5"/>
        <v>1.6393442622950821E-2</v>
      </c>
    </row>
    <row r="38" spans="3:9" ht="15" customHeight="1" x14ac:dyDescent="0.25">
      <c r="C38" s="14" t="s">
        <v>7</v>
      </c>
      <c r="D38" s="15">
        <f>SUM(D30:D37)</f>
        <v>77</v>
      </c>
      <c r="E38" s="15">
        <f>SUM(E30:E37)</f>
        <v>93</v>
      </c>
      <c r="F38" s="15">
        <f>SUM(F30:F37)</f>
        <v>77</v>
      </c>
      <c r="G38" s="15">
        <f>SUM(G30:G37)</f>
        <v>58</v>
      </c>
      <c r="H38" s="15">
        <f>SUM(H30:H37)</f>
        <v>305</v>
      </c>
      <c r="I38" s="16">
        <f>SUBTOTAL(109,I29:I37)</f>
        <v>1</v>
      </c>
    </row>
    <row r="39" spans="3:9" ht="15" customHeight="1" x14ac:dyDescent="0.25">
      <c r="C39" s="103"/>
      <c r="D39" s="103"/>
      <c r="E39" s="103"/>
      <c r="F39" s="103"/>
      <c r="G39" s="103"/>
      <c r="H39" s="103"/>
      <c r="I39" s="103"/>
    </row>
    <row r="40" spans="3:9" x14ac:dyDescent="0.25">
      <c r="C40" s="51" t="s">
        <v>104</v>
      </c>
      <c r="D40" s="1" t="s">
        <v>3</v>
      </c>
      <c r="E40" s="1" t="s">
        <v>4</v>
      </c>
      <c r="F40" s="1" t="s">
        <v>5</v>
      </c>
      <c r="G40" s="1" t="s">
        <v>6</v>
      </c>
      <c r="H40" s="1" t="s">
        <v>7</v>
      </c>
      <c r="I40" s="1" t="s">
        <v>8</v>
      </c>
    </row>
    <row r="41" spans="3:9" ht="15" customHeight="1" x14ac:dyDescent="0.25">
      <c r="C41" s="51" t="s">
        <v>105</v>
      </c>
      <c r="D41" s="26">
        <v>14</v>
      </c>
      <c r="E41" s="26">
        <v>21</v>
      </c>
      <c r="F41" s="26">
        <v>17</v>
      </c>
      <c r="G41" s="58">
        <v>12</v>
      </c>
      <c r="H41" s="26">
        <f>SUM(Table2[[#This Row],[Q1]:[Q4]])</f>
        <v>64</v>
      </c>
      <c r="I41" s="52">
        <f>Table2[[#This Row],[Total]]/H44</f>
        <v>0.20983606557377049</v>
      </c>
    </row>
    <row r="42" spans="3:9" x14ac:dyDescent="0.25">
      <c r="C42" s="51" t="s">
        <v>106</v>
      </c>
      <c r="D42" s="26">
        <v>40</v>
      </c>
      <c r="E42" s="26">
        <v>39</v>
      </c>
      <c r="F42" s="26">
        <v>36</v>
      </c>
      <c r="G42" s="58">
        <v>33</v>
      </c>
      <c r="H42" s="26">
        <f>SUM(Table2[[#This Row],[Q1]:[Q4]])</f>
        <v>148</v>
      </c>
      <c r="I42" s="52">
        <f>Table2[[#This Row],[Total]]/H44</f>
        <v>0.48524590163934428</v>
      </c>
    </row>
    <row r="43" spans="3:9" x14ac:dyDescent="0.25">
      <c r="C43" s="51" t="s">
        <v>107</v>
      </c>
      <c r="D43" s="26">
        <v>23</v>
      </c>
      <c r="E43" s="26">
        <v>33</v>
      </c>
      <c r="F43" s="26">
        <v>24</v>
      </c>
      <c r="G43" s="58">
        <v>13</v>
      </c>
      <c r="H43" s="26">
        <f>SUM(Table2[[#This Row],[Q1]:[Q4]])</f>
        <v>93</v>
      </c>
      <c r="I43" s="52">
        <f>Table2[[#This Row],[Total]]/H44</f>
        <v>0.30491803278688523</v>
      </c>
    </row>
    <row r="44" spans="3:9" x14ac:dyDescent="0.25">
      <c r="C44" s="51" t="s">
        <v>7</v>
      </c>
      <c r="D44" s="26">
        <f>SUBTOTAL(109,D41:D43)</f>
        <v>77</v>
      </c>
      <c r="E44" s="26">
        <f>SUBTOTAL(109,E41:E43)</f>
        <v>93</v>
      </c>
      <c r="F44" s="26">
        <f>SUBTOTAL(109,F41:F43)</f>
        <v>77</v>
      </c>
      <c r="G44" s="58">
        <v>80</v>
      </c>
      <c r="H44" s="26">
        <f t="shared" ref="H44" si="6">SUBTOTAL(109,H41:H43)</f>
        <v>305</v>
      </c>
      <c r="I44" s="52">
        <f>Table2[[#This Row],[Total]]/Table2[[#This Row],[Total]]</f>
        <v>1</v>
      </c>
    </row>
    <row r="45" spans="3:9" ht="64.5" customHeight="1" x14ac:dyDescent="0.25">
      <c r="C45" s="87" t="s">
        <v>108</v>
      </c>
      <c r="D45" s="88"/>
      <c r="E45" s="88"/>
      <c r="F45" s="88"/>
      <c r="G45" s="88"/>
      <c r="H45" s="88"/>
      <c r="I45" s="89"/>
    </row>
    <row r="46" spans="3:9" ht="18" customHeight="1" x14ac:dyDescent="0.25">
      <c r="C46" s="107"/>
      <c r="D46" s="107"/>
      <c r="E46" s="107"/>
      <c r="F46" s="107"/>
      <c r="G46" s="107"/>
      <c r="H46" s="107"/>
      <c r="I46" s="107"/>
    </row>
    <row r="47" spans="3:9" x14ac:dyDescent="0.25">
      <c r="C47" s="78"/>
      <c r="D47" s="78"/>
      <c r="E47" s="78"/>
      <c r="F47" s="78"/>
      <c r="G47" s="78"/>
      <c r="H47" s="78"/>
      <c r="I47" s="78"/>
    </row>
    <row r="48" spans="3:9" x14ac:dyDescent="0.25">
      <c r="C48" t="s">
        <v>109</v>
      </c>
      <c r="D48" s="1" t="s">
        <v>3</v>
      </c>
      <c r="E48" s="1" t="s">
        <v>4</v>
      </c>
      <c r="F48" s="1" t="s">
        <v>5</v>
      </c>
      <c r="G48" s="1" t="s">
        <v>6</v>
      </c>
      <c r="H48" s="1" t="s">
        <v>7</v>
      </c>
      <c r="I48" s="1" t="s">
        <v>8</v>
      </c>
    </row>
    <row r="49" spans="3:9" x14ac:dyDescent="0.25">
      <c r="C49" t="s">
        <v>48</v>
      </c>
      <c r="D49" s="1">
        <v>77</v>
      </c>
      <c r="E49" s="1">
        <v>91</v>
      </c>
      <c r="F49" s="1">
        <v>79</v>
      </c>
      <c r="G49" s="1">
        <v>61</v>
      </c>
      <c r="H49" s="1">
        <f>SUM(D49:G49)</f>
        <v>308</v>
      </c>
      <c r="I49" s="2">
        <f>H49/$H$51</f>
        <v>0.86274509803921573</v>
      </c>
    </row>
    <row r="50" spans="3:9" x14ac:dyDescent="0.25">
      <c r="C50" t="s">
        <v>49</v>
      </c>
      <c r="D50" s="1">
        <v>9</v>
      </c>
      <c r="E50" s="1">
        <v>10</v>
      </c>
      <c r="F50" s="1">
        <v>20</v>
      </c>
      <c r="G50" s="1">
        <v>10</v>
      </c>
      <c r="H50" s="1">
        <f t="shared" ref="H50" si="7">SUM(D50:G50)</f>
        <v>49</v>
      </c>
      <c r="I50" s="2">
        <f>H50/$H$51</f>
        <v>0.13725490196078433</v>
      </c>
    </row>
    <row r="51" spans="3:9" x14ac:dyDescent="0.25">
      <c r="C51" s="14" t="s">
        <v>7</v>
      </c>
      <c r="D51" s="15">
        <f>SUM(D49:D50)</f>
        <v>86</v>
      </c>
      <c r="E51" s="15">
        <f>SUM(E49:E50)</f>
        <v>101</v>
      </c>
      <c r="F51" s="15">
        <f>SUM(F49:F50)</f>
        <v>99</v>
      </c>
      <c r="G51" s="15">
        <f>SUM(G49:G50)</f>
        <v>71</v>
      </c>
      <c r="H51" s="15">
        <f>SUM(H49:H50)</f>
        <v>357</v>
      </c>
      <c r="I51" s="16">
        <f>H51/$H$51</f>
        <v>1</v>
      </c>
    </row>
    <row r="52" spans="3:9" x14ac:dyDescent="0.25">
      <c r="C52" s="78"/>
      <c r="D52" s="78"/>
      <c r="E52" s="78"/>
      <c r="F52" s="78"/>
      <c r="G52" s="78"/>
      <c r="H52" s="78"/>
      <c r="I52" s="78"/>
    </row>
    <row r="53" spans="3:9" ht="15" customHeight="1" x14ac:dyDescent="0.25">
      <c r="C53" s="108" t="s">
        <v>110</v>
      </c>
      <c r="D53" s="107"/>
      <c r="E53" s="107"/>
      <c r="F53" s="107"/>
      <c r="G53" s="107"/>
      <c r="H53" s="107"/>
      <c r="I53" s="109"/>
    </row>
    <row r="54" spans="3:9" ht="12" customHeight="1" x14ac:dyDescent="0.25">
      <c r="C54" s="110"/>
      <c r="D54" s="111"/>
      <c r="E54" s="111"/>
      <c r="F54" s="111"/>
      <c r="G54" s="111"/>
      <c r="H54" s="111"/>
      <c r="I54" s="112"/>
    </row>
    <row r="55" spans="3:9" x14ac:dyDescent="0.25">
      <c r="C55" s="110"/>
      <c r="D55" s="111"/>
      <c r="E55" s="111"/>
      <c r="F55" s="111"/>
      <c r="G55" s="111"/>
      <c r="H55" s="111"/>
      <c r="I55" s="112"/>
    </row>
    <row r="56" spans="3:9" x14ac:dyDescent="0.25">
      <c r="C56" s="113"/>
      <c r="D56" s="114"/>
      <c r="E56" s="114"/>
      <c r="F56" s="114"/>
      <c r="G56" s="114"/>
      <c r="H56" s="114"/>
      <c r="I56" s="115"/>
    </row>
    <row r="57" spans="3:9" x14ac:dyDescent="0.25">
      <c r="C57" s="117"/>
      <c r="D57" s="117"/>
      <c r="E57" s="117"/>
      <c r="F57" s="117"/>
      <c r="G57" s="117"/>
      <c r="H57" s="117"/>
      <c r="I57" s="117"/>
    </row>
    <row r="58" spans="3:9" x14ac:dyDescent="0.25">
      <c r="C58" t="s">
        <v>111</v>
      </c>
      <c r="D58" s="1" t="s">
        <v>3</v>
      </c>
      <c r="E58" s="1" t="s">
        <v>4</v>
      </c>
      <c r="F58" s="1" t="s">
        <v>5</v>
      </c>
      <c r="G58" s="1" t="s">
        <v>6</v>
      </c>
      <c r="H58" s="1" t="s">
        <v>7</v>
      </c>
      <c r="I58" s="1" t="s">
        <v>8</v>
      </c>
    </row>
    <row r="59" spans="3:9" x14ac:dyDescent="0.25">
      <c r="C59" t="s">
        <v>52</v>
      </c>
      <c r="D59" s="1">
        <v>3</v>
      </c>
      <c r="E59" s="1">
        <v>1</v>
      </c>
      <c r="F59" s="1">
        <v>5</v>
      </c>
      <c r="G59" s="1">
        <v>1</v>
      </c>
      <c r="H59" s="1">
        <f>SUM(D59:G59)</f>
        <v>10</v>
      </c>
      <c r="I59" s="2">
        <f>H59/$H$65</f>
        <v>2.8011204481792718E-2</v>
      </c>
    </row>
    <row r="60" spans="3:9" x14ac:dyDescent="0.25">
      <c r="C60" t="s">
        <v>53</v>
      </c>
      <c r="D60" s="1">
        <v>6</v>
      </c>
      <c r="E60" s="1">
        <v>9</v>
      </c>
      <c r="F60" s="1">
        <v>6</v>
      </c>
      <c r="G60" s="1">
        <v>6</v>
      </c>
      <c r="H60" s="1">
        <f t="shared" ref="H60:H64" si="8">SUM(D60:G60)</f>
        <v>27</v>
      </c>
      <c r="I60" s="2">
        <f t="shared" ref="I60:I64" si="9">H60/$H$65</f>
        <v>7.5630252100840331E-2</v>
      </c>
    </row>
    <row r="61" spans="3:9" x14ac:dyDescent="0.25">
      <c r="C61" t="s">
        <v>76</v>
      </c>
      <c r="D61" s="1">
        <v>13</v>
      </c>
      <c r="E61" s="1">
        <v>21</v>
      </c>
      <c r="F61" s="1">
        <v>13</v>
      </c>
      <c r="G61" s="1">
        <v>11</v>
      </c>
      <c r="H61" s="1">
        <f t="shared" si="8"/>
        <v>58</v>
      </c>
      <c r="I61" s="2">
        <f t="shared" si="9"/>
        <v>0.16246498599439776</v>
      </c>
    </row>
    <row r="62" spans="3:9" x14ac:dyDescent="0.25">
      <c r="C62" t="s">
        <v>54</v>
      </c>
      <c r="D62" s="1">
        <v>0</v>
      </c>
      <c r="E62" s="1">
        <v>1</v>
      </c>
      <c r="F62" s="1">
        <v>1</v>
      </c>
      <c r="G62" s="1">
        <v>1</v>
      </c>
      <c r="H62" s="1">
        <f t="shared" si="8"/>
        <v>3</v>
      </c>
      <c r="I62" s="2">
        <f t="shared" si="9"/>
        <v>8.4033613445378148E-3</v>
      </c>
    </row>
    <row r="63" spans="3:9" x14ac:dyDescent="0.25">
      <c r="C63" t="s">
        <v>55</v>
      </c>
      <c r="D63" s="1">
        <v>1</v>
      </c>
      <c r="E63" s="1">
        <v>5</v>
      </c>
      <c r="F63" s="1">
        <v>3</v>
      </c>
      <c r="G63" s="1">
        <v>0</v>
      </c>
      <c r="H63" s="1">
        <f t="shared" si="8"/>
        <v>9</v>
      </c>
      <c r="I63" s="2">
        <f t="shared" si="9"/>
        <v>2.5210084033613446E-2</v>
      </c>
    </row>
    <row r="64" spans="3:9" x14ac:dyDescent="0.25">
      <c r="C64" t="s">
        <v>56</v>
      </c>
      <c r="D64" s="1">
        <v>63</v>
      </c>
      <c r="E64" s="1">
        <v>64</v>
      </c>
      <c r="F64" s="1">
        <v>71</v>
      </c>
      <c r="G64" s="1">
        <v>52</v>
      </c>
      <c r="H64" s="1">
        <f t="shared" si="8"/>
        <v>250</v>
      </c>
      <c r="I64" s="2">
        <f t="shared" si="9"/>
        <v>0.70028011204481788</v>
      </c>
    </row>
    <row r="65" spans="3:10" x14ac:dyDescent="0.25">
      <c r="C65" s="14" t="s">
        <v>7</v>
      </c>
      <c r="D65" s="15">
        <f>SUBTOTAL(109,D59:D64)</f>
        <v>86</v>
      </c>
      <c r="E65" s="15">
        <f t="shared" ref="E65:G65" si="10">SUBTOTAL(109,E59:E64)</f>
        <v>101</v>
      </c>
      <c r="F65" s="15">
        <f t="shared" si="10"/>
        <v>99</v>
      </c>
      <c r="G65" s="15">
        <f t="shared" si="10"/>
        <v>71</v>
      </c>
      <c r="H65" s="15">
        <f>SUBTOTAL(109,H59:H64)</f>
        <v>357</v>
      </c>
      <c r="I65" s="16">
        <f>H65/$H$65</f>
        <v>1</v>
      </c>
    </row>
    <row r="66" spans="3:10" x14ac:dyDescent="0.25">
      <c r="C66" s="116"/>
      <c r="D66" s="116"/>
      <c r="E66" s="116"/>
      <c r="F66" s="116"/>
      <c r="G66" s="116"/>
      <c r="H66" s="116"/>
      <c r="I66" s="116"/>
    </row>
    <row r="67" spans="3:10" x14ac:dyDescent="0.25">
      <c r="C67" t="s">
        <v>112</v>
      </c>
      <c r="D67" s="1" t="s">
        <v>3</v>
      </c>
      <c r="E67" s="1" t="s">
        <v>4</v>
      </c>
      <c r="F67" s="1" t="s">
        <v>5</v>
      </c>
      <c r="G67" s="1" t="s">
        <v>6</v>
      </c>
      <c r="H67" s="1" t="s">
        <v>7</v>
      </c>
      <c r="I67" s="1" t="s">
        <v>8</v>
      </c>
    </row>
    <row r="68" spans="3:10" x14ac:dyDescent="0.25">
      <c r="C68" t="s">
        <v>48</v>
      </c>
      <c r="D68" s="1">
        <v>65</v>
      </c>
      <c r="E68" s="1">
        <v>73</v>
      </c>
      <c r="F68" s="1">
        <v>57</v>
      </c>
      <c r="G68" s="1">
        <v>42</v>
      </c>
      <c r="H68" s="1">
        <f>SUM(D68:G68)</f>
        <v>237</v>
      </c>
      <c r="I68" s="2">
        <f t="shared" ref="I68:I71" si="11">H68/$H$71</f>
        <v>0.77704918032786885</v>
      </c>
    </row>
    <row r="69" spans="3:10" x14ac:dyDescent="0.25">
      <c r="C69" t="s">
        <v>49</v>
      </c>
      <c r="D69" s="1">
        <v>12</v>
      </c>
      <c r="E69" s="1">
        <v>19</v>
      </c>
      <c r="F69" s="1">
        <v>20</v>
      </c>
      <c r="G69" s="1">
        <v>16</v>
      </c>
      <c r="H69" s="1">
        <f t="shared" ref="H69:H70" si="12">SUM(D69:G69)</f>
        <v>67</v>
      </c>
      <c r="I69" s="2">
        <f t="shared" si="11"/>
        <v>0.21967213114754097</v>
      </c>
    </row>
    <row r="70" spans="3:10" x14ac:dyDescent="0.25">
      <c r="C70" t="s">
        <v>50</v>
      </c>
      <c r="D70" s="1">
        <v>0</v>
      </c>
      <c r="E70" s="1">
        <v>1</v>
      </c>
      <c r="F70" s="1">
        <v>0</v>
      </c>
      <c r="G70" s="1">
        <v>0</v>
      </c>
      <c r="H70" s="1">
        <f t="shared" si="12"/>
        <v>1</v>
      </c>
      <c r="I70" s="2">
        <f t="shared" si="11"/>
        <v>3.2786885245901639E-3</v>
      </c>
    </row>
    <row r="71" spans="3:10" x14ac:dyDescent="0.25">
      <c r="C71" s="14" t="s">
        <v>7</v>
      </c>
      <c r="D71" s="15">
        <f>SUM(D68:D70)</f>
        <v>77</v>
      </c>
      <c r="E71" s="15">
        <f t="shared" ref="E71:H71" si="13">SUM(E68:E70)</f>
        <v>93</v>
      </c>
      <c r="F71" s="15">
        <f t="shared" si="13"/>
        <v>77</v>
      </c>
      <c r="G71" s="15">
        <f t="shared" si="13"/>
        <v>58</v>
      </c>
      <c r="H71" s="15">
        <f t="shared" si="13"/>
        <v>305</v>
      </c>
      <c r="I71" s="16">
        <f t="shared" si="11"/>
        <v>1</v>
      </c>
    </row>
    <row r="72" spans="3:10" x14ac:dyDescent="0.25">
      <c r="C72" s="78"/>
      <c r="D72" s="78"/>
      <c r="E72" s="78"/>
      <c r="F72" s="78"/>
      <c r="G72" s="78"/>
      <c r="H72" s="78"/>
      <c r="I72" s="78"/>
    </row>
    <row r="73" spans="3:10" x14ac:dyDescent="0.25">
      <c r="C73" t="s">
        <v>113</v>
      </c>
      <c r="D73" s="1" t="s">
        <v>3</v>
      </c>
      <c r="E73" s="1" t="s">
        <v>4</v>
      </c>
      <c r="F73" s="1" t="s">
        <v>5</v>
      </c>
      <c r="G73" s="1" t="s">
        <v>6</v>
      </c>
      <c r="H73" s="1" t="s">
        <v>7</v>
      </c>
      <c r="I73" s="1" t="s">
        <v>8</v>
      </c>
    </row>
    <row r="74" spans="3:10" x14ac:dyDescent="0.25">
      <c r="C74" t="s">
        <v>52</v>
      </c>
      <c r="D74" s="1">
        <v>2</v>
      </c>
      <c r="E74" s="1">
        <v>4</v>
      </c>
      <c r="F74" s="1">
        <v>2</v>
      </c>
      <c r="G74" s="1">
        <v>1</v>
      </c>
      <c r="H74" s="1">
        <f>SUM(Table1420243035[[#This Row],[Q1]:[Q4]])</f>
        <v>9</v>
      </c>
      <c r="I74" s="2">
        <f t="shared" ref="I74:I81" si="14">H74/$H$81</f>
        <v>2.9508196721311476E-2</v>
      </c>
    </row>
    <row r="75" spans="3:10" x14ac:dyDescent="0.25">
      <c r="C75" t="s">
        <v>53</v>
      </c>
      <c r="D75" s="1">
        <v>37</v>
      </c>
      <c r="E75" s="1">
        <v>39</v>
      </c>
      <c r="F75" s="1">
        <v>35</v>
      </c>
      <c r="G75" s="1">
        <v>31</v>
      </c>
      <c r="H75" s="1">
        <f>SUM(Table1420243035[[#This Row],[Q1]:[Q4]])</f>
        <v>142</v>
      </c>
      <c r="I75" s="2">
        <f t="shared" si="14"/>
        <v>0.46557377049180326</v>
      </c>
    </row>
    <row r="76" spans="3:10" x14ac:dyDescent="0.25">
      <c r="C76" t="s">
        <v>76</v>
      </c>
      <c r="D76" s="1">
        <v>7</v>
      </c>
      <c r="E76" s="1">
        <v>9</v>
      </c>
      <c r="F76" s="1">
        <v>5</v>
      </c>
      <c r="G76" s="1">
        <v>3</v>
      </c>
      <c r="H76" s="1">
        <f>SUM(Table1420243035[[#This Row],[Q1]:[Q4]])</f>
        <v>24</v>
      </c>
      <c r="I76" s="2">
        <f t="shared" si="14"/>
        <v>7.8688524590163941E-2</v>
      </c>
    </row>
    <row r="77" spans="3:10" x14ac:dyDescent="0.25">
      <c r="C77" t="s">
        <v>54</v>
      </c>
      <c r="D77" s="1">
        <v>1</v>
      </c>
      <c r="E77" s="1">
        <v>1</v>
      </c>
      <c r="F77" s="1">
        <v>0</v>
      </c>
      <c r="G77" s="1">
        <v>0</v>
      </c>
      <c r="H77" s="1">
        <f>SUM(Table1420243035[[#This Row],[Q1]:[Q4]])</f>
        <v>2</v>
      </c>
      <c r="I77" s="2">
        <f t="shared" si="14"/>
        <v>6.5573770491803279E-3</v>
      </c>
    </row>
    <row r="78" spans="3:10" x14ac:dyDescent="0.25">
      <c r="C78" t="s">
        <v>55</v>
      </c>
      <c r="D78" s="1">
        <v>0</v>
      </c>
      <c r="E78" s="1">
        <v>1</v>
      </c>
      <c r="F78" s="1">
        <v>0</v>
      </c>
      <c r="G78" s="1">
        <v>0</v>
      </c>
      <c r="H78" s="1">
        <f>SUM(Table1420243035[[#This Row],[Q1]:[Q4]])</f>
        <v>1</v>
      </c>
      <c r="I78" s="2">
        <f t="shared" si="14"/>
        <v>3.2786885245901639E-3</v>
      </c>
    </row>
    <row r="79" spans="3:10" x14ac:dyDescent="0.25">
      <c r="C79" t="s">
        <v>56</v>
      </c>
      <c r="D79" s="1">
        <v>30</v>
      </c>
      <c r="E79" s="1">
        <v>39</v>
      </c>
      <c r="F79" s="1">
        <v>35</v>
      </c>
      <c r="G79" s="1">
        <v>23</v>
      </c>
      <c r="H79" s="1">
        <f>SUM(Table1420243035[[#This Row],[Q1]:[Q4]])</f>
        <v>127</v>
      </c>
      <c r="I79" s="29">
        <f t="shared" si="14"/>
        <v>0.4163934426229508</v>
      </c>
    </row>
    <row r="80" spans="3:10" ht="15" customHeight="1" x14ac:dyDescent="0.25">
      <c r="C80" t="s">
        <v>50</v>
      </c>
      <c r="D80" s="1">
        <v>0</v>
      </c>
      <c r="E80" s="1">
        <v>0</v>
      </c>
      <c r="F80" s="1">
        <v>0</v>
      </c>
      <c r="G80" s="1">
        <v>0</v>
      </c>
      <c r="H80" s="1">
        <f>SUM(Table1420243035[[#This Row],[Q1]:[Q4]])</f>
        <v>0</v>
      </c>
      <c r="I80" s="2">
        <f>H80/$H$81</f>
        <v>0</v>
      </c>
      <c r="J80" s="27"/>
    </row>
    <row r="81" spans="1:10" ht="15" customHeight="1" x14ac:dyDescent="0.25">
      <c r="C81" s="14" t="s">
        <v>7</v>
      </c>
      <c r="D81" s="15">
        <f>SUM(D74:D80)</f>
        <v>77</v>
      </c>
      <c r="E81" s="15">
        <f>SUM(E74:E80)</f>
        <v>93</v>
      </c>
      <c r="F81" s="15">
        <f>SUM(F74:F80)</f>
        <v>77</v>
      </c>
      <c r="G81" s="15">
        <f t="shared" ref="G81" si="15">SUM(G74:G80)</f>
        <v>58</v>
      </c>
      <c r="H81" s="15">
        <f>SUM(H74:H80)</f>
        <v>305</v>
      </c>
      <c r="I81" s="16">
        <f t="shared" si="14"/>
        <v>1</v>
      </c>
      <c r="J81" s="27"/>
    </row>
    <row r="82" spans="1:10" x14ac:dyDescent="0.25">
      <c r="C82" s="78"/>
      <c r="D82" s="78"/>
      <c r="E82" s="78"/>
      <c r="F82" s="78"/>
      <c r="G82" s="78"/>
      <c r="H82" s="78"/>
      <c r="I82" s="78"/>
      <c r="J82" s="27"/>
    </row>
    <row r="83" spans="1:10" x14ac:dyDescent="0.25">
      <c r="C83" s="24" t="s">
        <v>114</v>
      </c>
      <c r="D83" s="18" t="s">
        <v>3</v>
      </c>
      <c r="E83" s="18" t="s">
        <v>4</v>
      </c>
      <c r="F83" s="18" t="s">
        <v>5</v>
      </c>
      <c r="G83" s="18" t="s">
        <v>6</v>
      </c>
      <c r="H83" s="18" t="s">
        <v>7</v>
      </c>
      <c r="I83" s="18" t="s">
        <v>8</v>
      </c>
      <c r="J83" s="26"/>
    </row>
    <row r="84" spans="1:10" ht="15" customHeight="1" x14ac:dyDescent="0.25">
      <c r="C84" s="30" t="s">
        <v>115</v>
      </c>
      <c r="D84" s="31">
        <v>29</v>
      </c>
      <c r="E84" s="31">
        <v>29</v>
      </c>
      <c r="F84" s="31">
        <v>18</v>
      </c>
      <c r="G84" s="31">
        <v>18</v>
      </c>
      <c r="H84" s="31">
        <f>SUM(D84:G84)</f>
        <v>94</v>
      </c>
      <c r="I84" s="32">
        <f>H84/$H$88</f>
        <v>0.37450199203187251</v>
      </c>
    </row>
    <row r="85" spans="1:10" x14ac:dyDescent="0.25">
      <c r="C85" s="33" t="s">
        <v>116</v>
      </c>
      <c r="D85" s="34">
        <v>8</v>
      </c>
      <c r="E85" s="34">
        <v>17</v>
      </c>
      <c r="F85" s="34">
        <v>14</v>
      </c>
      <c r="G85" s="34">
        <v>5</v>
      </c>
      <c r="H85" s="34">
        <f t="shared" ref="H85:H88" si="16">SUM(D85:G85)</f>
        <v>44</v>
      </c>
      <c r="I85" s="35">
        <f>H85/$H$88</f>
        <v>0.1752988047808765</v>
      </c>
    </row>
    <row r="86" spans="1:10" x14ac:dyDescent="0.25">
      <c r="C86" s="30" t="s">
        <v>117</v>
      </c>
      <c r="D86" s="31">
        <v>14</v>
      </c>
      <c r="E86" s="31">
        <v>15</v>
      </c>
      <c r="F86" s="31">
        <v>14</v>
      </c>
      <c r="G86" s="31">
        <v>7</v>
      </c>
      <c r="H86" s="31">
        <f t="shared" si="16"/>
        <v>50</v>
      </c>
      <c r="I86" s="32">
        <f>H86/$H$88</f>
        <v>0.19920318725099601</v>
      </c>
    </row>
    <row r="87" spans="1:10" x14ac:dyDescent="0.25">
      <c r="C87" s="36" t="s">
        <v>55</v>
      </c>
      <c r="D87" s="34">
        <v>18</v>
      </c>
      <c r="E87" s="34">
        <v>11</v>
      </c>
      <c r="F87" s="34">
        <v>17</v>
      </c>
      <c r="G87" s="34">
        <v>17</v>
      </c>
      <c r="H87" s="34">
        <f t="shared" si="16"/>
        <v>63</v>
      </c>
      <c r="I87" s="35">
        <f>H87/$H$88</f>
        <v>0.25099601593625498</v>
      </c>
    </row>
    <row r="88" spans="1:10" x14ac:dyDescent="0.25">
      <c r="B88" s="6"/>
      <c r="C88" s="37" t="s">
        <v>7</v>
      </c>
      <c r="D88" s="38">
        <f>SUM(D84:D87)</f>
        <v>69</v>
      </c>
      <c r="E88" s="38">
        <f>SUM(E84:E87)</f>
        <v>72</v>
      </c>
      <c r="F88" s="38">
        <f t="shared" ref="F88:G88" si="17">SUM(F84:F87)</f>
        <v>63</v>
      </c>
      <c r="G88" s="38">
        <f t="shared" si="17"/>
        <v>47</v>
      </c>
      <c r="H88" s="38">
        <f t="shared" si="16"/>
        <v>251</v>
      </c>
      <c r="I88" s="39">
        <f>H88/$H$88</f>
        <v>1</v>
      </c>
    </row>
    <row r="89" spans="1:10" ht="51.75" customHeight="1" x14ac:dyDescent="0.25">
      <c r="B89" s="6"/>
      <c r="C89" s="87" t="s">
        <v>118</v>
      </c>
      <c r="D89" s="88"/>
      <c r="E89" s="88"/>
      <c r="F89" s="88"/>
      <c r="G89" s="88"/>
      <c r="H89" s="88"/>
      <c r="I89" s="89"/>
    </row>
    <row r="90" spans="1:10" x14ac:dyDescent="0.25">
      <c r="B90" s="6"/>
      <c r="C90" s="107"/>
      <c r="D90" s="107"/>
      <c r="E90" s="107"/>
      <c r="F90" s="107"/>
      <c r="G90" s="107"/>
      <c r="H90" s="107"/>
      <c r="I90" s="107"/>
    </row>
    <row r="91" spans="1:10" x14ac:dyDescent="0.25">
      <c r="A91" s="1"/>
      <c r="B91" s="1"/>
      <c r="C91" s="1"/>
      <c r="D91" s="1"/>
      <c r="E91" s="1"/>
      <c r="F91" s="1"/>
      <c r="G91" s="1"/>
      <c r="H91" s="1"/>
      <c r="I91" s="1"/>
    </row>
    <row r="92" spans="1:10" x14ac:dyDescent="0.25">
      <c r="A92" s="57" t="s">
        <v>119</v>
      </c>
      <c r="B92" s="56"/>
      <c r="C92" s="56"/>
      <c r="D92" s="56"/>
      <c r="E92" s="56"/>
      <c r="F92" s="56"/>
      <c r="G92" s="56"/>
      <c r="H92" s="56"/>
      <c r="I92" s="56"/>
    </row>
    <row r="93" spans="1:10" x14ac:dyDescent="0.25">
      <c r="A93" s="118" t="s">
        <v>120</v>
      </c>
      <c r="B93" s="121" t="s">
        <v>56</v>
      </c>
      <c r="C93" s="20" t="s">
        <v>121</v>
      </c>
      <c r="D93" s="19" t="s">
        <v>3</v>
      </c>
      <c r="E93" s="19" t="s">
        <v>4</v>
      </c>
      <c r="F93" s="19" t="s">
        <v>5</v>
      </c>
      <c r="G93" s="19" t="s">
        <v>6</v>
      </c>
      <c r="H93" s="19" t="s">
        <v>7</v>
      </c>
      <c r="I93" s="19" t="s">
        <v>8</v>
      </c>
    </row>
    <row r="94" spans="1:10" x14ac:dyDescent="0.25">
      <c r="A94" s="119"/>
      <c r="B94" s="122"/>
      <c r="C94" t="s">
        <v>52</v>
      </c>
      <c r="D94" s="1">
        <v>1</v>
      </c>
      <c r="E94" s="1">
        <v>2</v>
      </c>
      <c r="F94" s="1">
        <v>4</v>
      </c>
      <c r="G94" s="1">
        <v>0</v>
      </c>
      <c r="H94" s="1">
        <f>SUM(D94:G94)</f>
        <v>7</v>
      </c>
      <c r="I94" s="2">
        <f t="shared" ref="I94:I101" si="18">H94/$H$101</f>
        <v>2.8000000000000001E-2</v>
      </c>
    </row>
    <row r="95" spans="1:10" x14ac:dyDescent="0.25">
      <c r="A95" s="119"/>
      <c r="B95" s="122"/>
      <c r="C95" t="s">
        <v>53</v>
      </c>
      <c r="D95" s="1">
        <v>33</v>
      </c>
      <c r="E95" s="1">
        <v>29</v>
      </c>
      <c r="F95" s="1">
        <v>34</v>
      </c>
      <c r="G95" s="1">
        <v>27</v>
      </c>
      <c r="H95" s="1">
        <f t="shared" ref="H95:H140" si="19">SUM(D95:G95)</f>
        <v>123</v>
      </c>
      <c r="I95" s="2">
        <f t="shared" si="18"/>
        <v>0.49199999999999999</v>
      </c>
    </row>
    <row r="96" spans="1:10" x14ac:dyDescent="0.25">
      <c r="A96" s="119"/>
      <c r="B96" s="122"/>
      <c r="C96" t="s">
        <v>76</v>
      </c>
      <c r="D96" s="1">
        <v>6</v>
      </c>
      <c r="E96" s="1">
        <v>8</v>
      </c>
      <c r="F96" s="1">
        <v>7</v>
      </c>
      <c r="G96" s="1">
        <v>3</v>
      </c>
      <c r="H96" s="1">
        <f t="shared" si="19"/>
        <v>24</v>
      </c>
      <c r="I96" s="2">
        <f t="shared" si="18"/>
        <v>9.6000000000000002E-2</v>
      </c>
    </row>
    <row r="97" spans="1:9" x14ac:dyDescent="0.25">
      <c r="A97" s="119"/>
      <c r="B97" s="122"/>
      <c r="C97" t="s">
        <v>54</v>
      </c>
      <c r="D97" s="1">
        <v>2</v>
      </c>
      <c r="E97" s="1">
        <v>0</v>
      </c>
      <c r="F97" s="1">
        <v>0</v>
      </c>
      <c r="G97" s="1">
        <v>0</v>
      </c>
      <c r="H97" s="1">
        <f t="shared" si="19"/>
        <v>2</v>
      </c>
      <c r="I97" s="2">
        <f t="shared" si="18"/>
        <v>8.0000000000000002E-3</v>
      </c>
    </row>
    <row r="98" spans="1:9" x14ac:dyDescent="0.25">
      <c r="A98" s="119"/>
      <c r="B98" s="122"/>
      <c r="C98" t="s">
        <v>55</v>
      </c>
      <c r="D98" s="1">
        <v>0</v>
      </c>
      <c r="E98" s="1">
        <v>2</v>
      </c>
      <c r="F98" s="1">
        <v>0</v>
      </c>
      <c r="G98" s="1">
        <v>0</v>
      </c>
      <c r="H98" s="1">
        <f t="shared" si="19"/>
        <v>2</v>
      </c>
      <c r="I98" s="2">
        <f t="shared" si="18"/>
        <v>8.0000000000000002E-3</v>
      </c>
    </row>
    <row r="99" spans="1:9" x14ac:dyDescent="0.25">
      <c r="A99" s="119"/>
      <c r="B99" s="122"/>
      <c r="C99" t="s">
        <v>56</v>
      </c>
      <c r="D99" s="1">
        <v>21</v>
      </c>
      <c r="E99" s="1">
        <v>23</v>
      </c>
      <c r="F99" s="1">
        <v>26</v>
      </c>
      <c r="G99" s="1">
        <v>0</v>
      </c>
      <c r="H99" s="1">
        <f t="shared" si="19"/>
        <v>70</v>
      </c>
      <c r="I99" s="2">
        <f t="shared" si="18"/>
        <v>0.28000000000000003</v>
      </c>
    </row>
    <row r="100" spans="1:9" x14ac:dyDescent="0.25">
      <c r="A100" s="119"/>
      <c r="B100" s="122"/>
      <c r="C100" t="s">
        <v>50</v>
      </c>
      <c r="D100" s="1">
        <v>0</v>
      </c>
      <c r="E100" s="1">
        <v>0</v>
      </c>
      <c r="F100" s="1">
        <v>0</v>
      </c>
      <c r="G100" s="1">
        <v>22</v>
      </c>
      <c r="H100" s="1">
        <f t="shared" si="19"/>
        <v>22</v>
      </c>
      <c r="I100" s="2">
        <f>H100/$H$101</f>
        <v>8.7999999999999995E-2</v>
      </c>
    </row>
    <row r="101" spans="1:9" x14ac:dyDescent="0.25">
      <c r="A101" s="119"/>
      <c r="B101" s="123"/>
      <c r="C101" s="21" t="s">
        <v>7</v>
      </c>
      <c r="D101" s="15">
        <f>SUBTOTAL(109,D94:D100)</f>
        <v>63</v>
      </c>
      <c r="E101" s="15">
        <f>SUBTOTAL(109,E94:E100)</f>
        <v>64</v>
      </c>
      <c r="F101" s="15">
        <f>SUBTOTAL(109,F94:F100)</f>
        <v>71</v>
      </c>
      <c r="G101" s="15">
        <f>SUM(G94:G100)</f>
        <v>52</v>
      </c>
      <c r="H101" s="15">
        <f t="shared" si="19"/>
        <v>250</v>
      </c>
      <c r="I101" s="16">
        <f t="shared" si="18"/>
        <v>1</v>
      </c>
    </row>
    <row r="102" spans="1:9" x14ac:dyDescent="0.25">
      <c r="A102" s="119"/>
      <c r="B102" s="124" t="s">
        <v>76</v>
      </c>
      <c r="C102" t="s">
        <v>52</v>
      </c>
      <c r="D102" s="1">
        <v>1</v>
      </c>
      <c r="E102" s="1">
        <v>0</v>
      </c>
      <c r="F102" s="1">
        <v>0</v>
      </c>
      <c r="G102" s="1">
        <v>0</v>
      </c>
      <c r="H102" s="1">
        <f t="shared" si="19"/>
        <v>1</v>
      </c>
      <c r="I102" s="2">
        <f t="shared" ref="I102:I109" si="20">H102/$H$109</f>
        <v>1.7241379310344827E-2</v>
      </c>
    </row>
    <row r="103" spans="1:9" x14ac:dyDescent="0.25">
      <c r="A103" s="119"/>
      <c r="B103" s="125"/>
      <c r="C103" t="s">
        <v>53</v>
      </c>
      <c r="D103" s="1">
        <v>3</v>
      </c>
      <c r="E103" s="1">
        <v>8</v>
      </c>
      <c r="F103" s="1">
        <v>2</v>
      </c>
      <c r="G103" s="1">
        <v>7</v>
      </c>
      <c r="H103" s="1">
        <f t="shared" si="19"/>
        <v>20</v>
      </c>
      <c r="I103" s="2">
        <f t="shared" si="20"/>
        <v>0.34482758620689657</v>
      </c>
    </row>
    <row r="104" spans="1:9" x14ac:dyDescent="0.25">
      <c r="A104" s="119"/>
      <c r="B104" s="125"/>
      <c r="C104" t="s">
        <v>76</v>
      </c>
      <c r="D104" s="1">
        <v>1</v>
      </c>
      <c r="E104" s="1">
        <v>1</v>
      </c>
      <c r="F104" s="1">
        <v>0</v>
      </c>
      <c r="G104" s="1">
        <v>0</v>
      </c>
      <c r="H104" s="1">
        <f t="shared" si="19"/>
        <v>2</v>
      </c>
      <c r="I104" s="2">
        <f t="shared" si="20"/>
        <v>3.4482758620689655E-2</v>
      </c>
    </row>
    <row r="105" spans="1:9" x14ac:dyDescent="0.25">
      <c r="A105" s="119"/>
      <c r="B105" s="125"/>
      <c r="C105" t="s">
        <v>54</v>
      </c>
      <c r="D105" s="1">
        <v>0</v>
      </c>
      <c r="E105" s="1">
        <v>1</v>
      </c>
      <c r="F105" s="1">
        <v>0</v>
      </c>
      <c r="G105" s="1">
        <v>0</v>
      </c>
      <c r="H105" s="1">
        <f t="shared" si="19"/>
        <v>1</v>
      </c>
      <c r="I105" s="2">
        <f t="shared" si="20"/>
        <v>1.7241379310344827E-2</v>
      </c>
    </row>
    <row r="106" spans="1:9" x14ac:dyDescent="0.25">
      <c r="A106" s="119"/>
      <c r="B106" s="125"/>
      <c r="C106" t="s">
        <v>55</v>
      </c>
      <c r="D106" s="1">
        <v>0</v>
      </c>
      <c r="E106" s="1">
        <v>0</v>
      </c>
      <c r="F106" s="1">
        <v>0</v>
      </c>
      <c r="G106" s="1">
        <v>0</v>
      </c>
      <c r="H106" s="1">
        <f t="shared" si="19"/>
        <v>0</v>
      </c>
      <c r="I106" s="2">
        <f t="shared" si="20"/>
        <v>0</v>
      </c>
    </row>
    <row r="107" spans="1:9" x14ac:dyDescent="0.25">
      <c r="A107" s="119"/>
      <c r="B107" s="125"/>
      <c r="C107" t="s">
        <v>56</v>
      </c>
      <c r="D107" s="1">
        <v>8</v>
      </c>
      <c r="E107" s="1">
        <v>11</v>
      </c>
      <c r="F107" s="1">
        <v>11</v>
      </c>
      <c r="G107" s="1">
        <v>4</v>
      </c>
      <c r="H107" s="1">
        <f t="shared" si="19"/>
        <v>34</v>
      </c>
      <c r="I107" s="2">
        <f t="shared" si="20"/>
        <v>0.58620689655172409</v>
      </c>
    </row>
    <row r="108" spans="1:9" x14ac:dyDescent="0.25">
      <c r="A108" s="119"/>
      <c r="B108" s="125"/>
      <c r="C108" t="s">
        <v>50</v>
      </c>
      <c r="D108" s="1">
        <v>0</v>
      </c>
      <c r="E108" s="1">
        <v>0</v>
      </c>
      <c r="F108" s="1">
        <v>0</v>
      </c>
      <c r="G108" s="1">
        <v>0</v>
      </c>
      <c r="H108" s="1">
        <f t="shared" si="19"/>
        <v>0</v>
      </c>
      <c r="I108" s="2">
        <f>H108/$H$109</f>
        <v>0</v>
      </c>
    </row>
    <row r="109" spans="1:9" x14ac:dyDescent="0.25">
      <c r="A109" s="119"/>
      <c r="B109" s="126"/>
      <c r="C109" s="21" t="s">
        <v>7</v>
      </c>
      <c r="D109" s="15">
        <f>SUBTOTAL(109,D102:D108)</f>
        <v>13</v>
      </c>
      <c r="E109" s="15">
        <f>SUBTOTAL(109,E102:E108)</f>
        <v>21</v>
      </c>
      <c r="F109" s="15">
        <f>SUBTOTAL(109,F102:F108)</f>
        <v>13</v>
      </c>
      <c r="G109" s="15">
        <f t="shared" ref="G109" si="21">SUBTOTAL(109,G102:G108)</f>
        <v>11</v>
      </c>
      <c r="H109" s="15">
        <f t="shared" ref="H109" si="22">SUBTOTAL(109,H102:H108)</f>
        <v>58</v>
      </c>
      <c r="I109" s="16">
        <f t="shared" si="20"/>
        <v>1</v>
      </c>
    </row>
    <row r="110" spans="1:9" x14ac:dyDescent="0.25">
      <c r="A110" s="119"/>
      <c r="B110" s="124" t="s">
        <v>53</v>
      </c>
      <c r="C110" t="s">
        <v>52</v>
      </c>
      <c r="D110" s="1">
        <v>0</v>
      </c>
      <c r="E110" s="1">
        <v>1</v>
      </c>
      <c r="F110" s="1">
        <v>0</v>
      </c>
      <c r="G110" s="1">
        <v>0</v>
      </c>
      <c r="H110" s="1">
        <f t="shared" si="19"/>
        <v>1</v>
      </c>
      <c r="I110" s="2">
        <f t="shared" ref="I110:I117" si="23">H110/$H$117</f>
        <v>3.7037037037037035E-2</v>
      </c>
    </row>
    <row r="111" spans="1:9" x14ac:dyDescent="0.25">
      <c r="A111" s="119"/>
      <c r="B111" s="125"/>
      <c r="C111" t="s">
        <v>53</v>
      </c>
      <c r="D111" s="1">
        <v>2</v>
      </c>
      <c r="E111" s="1">
        <v>4</v>
      </c>
      <c r="F111" s="1">
        <v>3</v>
      </c>
      <c r="G111" s="1">
        <v>0</v>
      </c>
      <c r="H111" s="1">
        <f t="shared" si="19"/>
        <v>9</v>
      </c>
      <c r="I111" s="2">
        <f t="shared" si="23"/>
        <v>0.33333333333333331</v>
      </c>
    </row>
    <row r="112" spans="1:9" x14ac:dyDescent="0.25">
      <c r="A112" s="119"/>
      <c r="B112" s="125"/>
      <c r="C112" t="s">
        <v>76</v>
      </c>
      <c r="D112" s="1">
        <v>0</v>
      </c>
      <c r="E112" s="1">
        <v>2</v>
      </c>
      <c r="F112" s="1">
        <v>0</v>
      </c>
      <c r="G112" s="1">
        <v>5</v>
      </c>
      <c r="H112" s="1">
        <f t="shared" si="19"/>
        <v>7</v>
      </c>
      <c r="I112" s="2">
        <f t="shared" si="23"/>
        <v>0.25925925925925924</v>
      </c>
    </row>
    <row r="113" spans="1:9" x14ac:dyDescent="0.25">
      <c r="A113" s="119"/>
      <c r="B113" s="125"/>
      <c r="C113" t="s">
        <v>54</v>
      </c>
      <c r="D113" s="1">
        <v>0</v>
      </c>
      <c r="E113" s="1">
        <v>0</v>
      </c>
      <c r="F113" s="1">
        <v>0</v>
      </c>
      <c r="G113" s="1">
        <v>0</v>
      </c>
      <c r="H113" s="1">
        <f t="shared" si="19"/>
        <v>0</v>
      </c>
      <c r="I113" s="2">
        <f t="shared" si="23"/>
        <v>0</v>
      </c>
    </row>
    <row r="114" spans="1:9" x14ac:dyDescent="0.25">
      <c r="A114" s="119"/>
      <c r="B114" s="125"/>
      <c r="C114" t="s">
        <v>55</v>
      </c>
      <c r="D114" s="1">
        <v>0</v>
      </c>
      <c r="E114" s="1">
        <v>0</v>
      </c>
      <c r="F114" s="1">
        <v>0</v>
      </c>
      <c r="G114" s="1">
        <v>0</v>
      </c>
      <c r="H114" s="1">
        <f t="shared" si="19"/>
        <v>0</v>
      </c>
      <c r="I114" s="2">
        <f t="shared" si="23"/>
        <v>0</v>
      </c>
    </row>
    <row r="115" spans="1:9" x14ac:dyDescent="0.25">
      <c r="A115" s="119"/>
      <c r="B115" s="125"/>
      <c r="C115" t="s">
        <v>56</v>
      </c>
      <c r="D115" s="1">
        <v>4</v>
      </c>
      <c r="E115" s="1">
        <v>2</v>
      </c>
      <c r="F115" s="1">
        <v>3</v>
      </c>
      <c r="G115" s="1">
        <v>1</v>
      </c>
      <c r="H115" s="1">
        <f t="shared" si="19"/>
        <v>10</v>
      </c>
      <c r="I115" s="2">
        <f t="shared" si="23"/>
        <v>0.37037037037037035</v>
      </c>
    </row>
    <row r="116" spans="1:9" x14ac:dyDescent="0.25">
      <c r="A116" s="119"/>
      <c r="B116" s="125"/>
      <c r="C116" t="s">
        <v>50</v>
      </c>
      <c r="D116" s="1">
        <v>0</v>
      </c>
      <c r="E116" s="1">
        <v>0</v>
      </c>
      <c r="F116" s="1">
        <v>0</v>
      </c>
      <c r="G116" s="1">
        <v>0</v>
      </c>
      <c r="H116" s="1">
        <f t="shared" si="19"/>
        <v>0</v>
      </c>
      <c r="I116" s="2">
        <f>H116/$H$117</f>
        <v>0</v>
      </c>
    </row>
    <row r="117" spans="1:9" x14ac:dyDescent="0.25">
      <c r="A117" s="119"/>
      <c r="B117" s="126"/>
      <c r="C117" s="21" t="s">
        <v>7</v>
      </c>
      <c r="D117" s="15">
        <f>SUM(D110:D116)</f>
        <v>6</v>
      </c>
      <c r="E117" s="15">
        <f>SUM(E110:E116)</f>
        <v>9</v>
      </c>
      <c r="F117" s="15">
        <f>SUM(F110:F116)</f>
        <v>6</v>
      </c>
      <c r="G117" s="15">
        <f t="shared" ref="G117" si="24">SUM(G110:G116)</f>
        <v>6</v>
      </c>
      <c r="H117" s="15">
        <f t="shared" ref="H117" si="25">SUM(H110:H116)</f>
        <v>27</v>
      </c>
      <c r="I117" s="16">
        <f t="shared" si="23"/>
        <v>1</v>
      </c>
    </row>
    <row r="118" spans="1:9" x14ac:dyDescent="0.25">
      <c r="A118" s="119"/>
      <c r="B118" s="124" t="s">
        <v>54</v>
      </c>
      <c r="C118" t="s">
        <v>52</v>
      </c>
      <c r="D118" s="1">
        <v>0</v>
      </c>
      <c r="E118" s="1">
        <v>0</v>
      </c>
      <c r="F118" s="1">
        <v>0</v>
      </c>
      <c r="G118" s="1">
        <v>1</v>
      </c>
      <c r="H118" s="1">
        <f t="shared" si="19"/>
        <v>1</v>
      </c>
      <c r="I118" s="2">
        <f t="shared" ref="I118:I125" si="26">H118/$H$125</f>
        <v>0.33333333333333331</v>
      </c>
    </row>
    <row r="119" spans="1:9" x14ac:dyDescent="0.25">
      <c r="A119" s="119"/>
      <c r="B119" s="125"/>
      <c r="C119" t="s">
        <v>53</v>
      </c>
      <c r="D119" s="1">
        <v>0</v>
      </c>
      <c r="E119" s="1">
        <v>0</v>
      </c>
      <c r="F119" s="1">
        <v>0</v>
      </c>
      <c r="G119" s="1">
        <v>0</v>
      </c>
      <c r="H119" s="1">
        <f t="shared" si="19"/>
        <v>0</v>
      </c>
      <c r="I119" s="2">
        <f t="shared" si="26"/>
        <v>0</v>
      </c>
    </row>
    <row r="120" spans="1:9" x14ac:dyDescent="0.25">
      <c r="A120" s="119"/>
      <c r="B120" s="125"/>
      <c r="C120" t="s">
        <v>76</v>
      </c>
      <c r="D120" s="1">
        <v>0</v>
      </c>
      <c r="E120" s="1">
        <v>0</v>
      </c>
      <c r="F120" s="1">
        <v>0</v>
      </c>
      <c r="G120" s="1">
        <v>0</v>
      </c>
      <c r="H120" s="1">
        <f t="shared" si="19"/>
        <v>0</v>
      </c>
      <c r="I120" s="2">
        <f t="shared" si="26"/>
        <v>0</v>
      </c>
    </row>
    <row r="121" spans="1:9" x14ac:dyDescent="0.25">
      <c r="A121" s="119"/>
      <c r="B121" s="125"/>
      <c r="C121" t="s">
        <v>54</v>
      </c>
      <c r="D121" s="1">
        <v>0</v>
      </c>
      <c r="E121" s="1">
        <v>0</v>
      </c>
      <c r="F121" s="1">
        <v>0</v>
      </c>
      <c r="G121" s="1">
        <v>0</v>
      </c>
      <c r="H121" s="1">
        <f t="shared" si="19"/>
        <v>0</v>
      </c>
      <c r="I121" s="2">
        <f t="shared" si="26"/>
        <v>0</v>
      </c>
    </row>
    <row r="122" spans="1:9" x14ac:dyDescent="0.25">
      <c r="A122" s="119"/>
      <c r="B122" s="125"/>
      <c r="C122" t="s">
        <v>55</v>
      </c>
      <c r="D122" s="1">
        <v>0</v>
      </c>
      <c r="E122" s="1">
        <v>0</v>
      </c>
      <c r="F122" s="1">
        <v>0</v>
      </c>
      <c r="G122" s="1">
        <v>0</v>
      </c>
      <c r="H122" s="1">
        <f t="shared" si="19"/>
        <v>0</v>
      </c>
      <c r="I122" s="2">
        <f t="shared" si="26"/>
        <v>0</v>
      </c>
    </row>
    <row r="123" spans="1:9" x14ac:dyDescent="0.25">
      <c r="A123" s="119"/>
      <c r="B123" s="125"/>
      <c r="C123" t="s">
        <v>56</v>
      </c>
      <c r="D123" s="1">
        <v>0</v>
      </c>
      <c r="E123" s="1">
        <v>1</v>
      </c>
      <c r="F123" s="1">
        <v>1</v>
      </c>
      <c r="G123" s="1">
        <v>0</v>
      </c>
      <c r="H123" s="1">
        <f t="shared" si="19"/>
        <v>2</v>
      </c>
      <c r="I123" s="2">
        <f t="shared" si="26"/>
        <v>0.66666666666666663</v>
      </c>
    </row>
    <row r="124" spans="1:9" x14ac:dyDescent="0.25">
      <c r="A124" s="119"/>
      <c r="B124" s="125"/>
      <c r="C124" t="s">
        <v>50</v>
      </c>
      <c r="D124" s="1">
        <v>0</v>
      </c>
      <c r="E124" s="1">
        <v>0</v>
      </c>
      <c r="F124" s="1">
        <v>0</v>
      </c>
      <c r="G124" s="1">
        <v>0</v>
      </c>
      <c r="H124" s="1">
        <f t="shared" si="19"/>
        <v>0</v>
      </c>
      <c r="I124" s="2">
        <f>H124/$H$125</f>
        <v>0</v>
      </c>
    </row>
    <row r="125" spans="1:9" x14ac:dyDescent="0.25">
      <c r="A125" s="119"/>
      <c r="B125" s="126"/>
      <c r="C125" s="21" t="s">
        <v>7</v>
      </c>
      <c r="D125" s="15">
        <f>SUM(D118:D124)</f>
        <v>0</v>
      </c>
      <c r="E125" s="15">
        <f>SUM(E118:E124)</f>
        <v>1</v>
      </c>
      <c r="F125" s="15">
        <v>1</v>
      </c>
      <c r="G125" s="15">
        <f t="shared" ref="G125" si="27">SUM(G118:G124)</f>
        <v>1</v>
      </c>
      <c r="H125" s="15">
        <f t="shared" ref="H125" si="28">SUM(H118:H124)</f>
        <v>3</v>
      </c>
      <c r="I125" s="16">
        <f t="shared" si="26"/>
        <v>1</v>
      </c>
    </row>
    <row r="126" spans="1:9" x14ac:dyDescent="0.25">
      <c r="A126" s="119"/>
      <c r="B126" s="124" t="s">
        <v>52</v>
      </c>
      <c r="C126" t="s">
        <v>52</v>
      </c>
      <c r="D126" s="1">
        <v>0</v>
      </c>
      <c r="E126" s="1">
        <v>0</v>
      </c>
      <c r="F126" s="1">
        <v>0</v>
      </c>
      <c r="G126" s="1">
        <v>0</v>
      </c>
      <c r="H126" s="1">
        <f t="shared" si="19"/>
        <v>0</v>
      </c>
      <c r="I126" s="2">
        <f t="shared" ref="I126:I133" si="29">H126/$H$133</f>
        <v>0</v>
      </c>
    </row>
    <row r="127" spans="1:9" x14ac:dyDescent="0.25">
      <c r="A127" s="119"/>
      <c r="B127" s="125"/>
      <c r="C127" t="s">
        <v>53</v>
      </c>
      <c r="D127" s="1">
        <v>2</v>
      </c>
      <c r="E127" s="1">
        <v>0</v>
      </c>
      <c r="F127" s="1">
        <v>2</v>
      </c>
      <c r="G127" s="1">
        <v>0</v>
      </c>
      <c r="H127" s="1">
        <f t="shared" si="19"/>
        <v>4</v>
      </c>
      <c r="I127" s="2">
        <f t="shared" si="29"/>
        <v>0.4</v>
      </c>
    </row>
    <row r="128" spans="1:9" x14ac:dyDescent="0.25">
      <c r="A128" s="119"/>
      <c r="B128" s="125"/>
      <c r="C128" t="s">
        <v>76</v>
      </c>
      <c r="D128" s="1">
        <v>0</v>
      </c>
      <c r="E128" s="1">
        <v>0</v>
      </c>
      <c r="F128" s="1">
        <v>1</v>
      </c>
      <c r="G128" s="1">
        <v>0</v>
      </c>
      <c r="H128" s="1">
        <f t="shared" si="19"/>
        <v>1</v>
      </c>
      <c r="I128" s="2">
        <f t="shared" si="29"/>
        <v>0.1</v>
      </c>
    </row>
    <row r="129" spans="1:9" x14ac:dyDescent="0.25">
      <c r="A129" s="119"/>
      <c r="B129" s="125"/>
      <c r="C129" t="s">
        <v>54</v>
      </c>
      <c r="D129" s="1">
        <v>0</v>
      </c>
      <c r="E129" s="1">
        <v>0</v>
      </c>
      <c r="F129" s="1">
        <v>0</v>
      </c>
      <c r="G129" s="1">
        <v>0</v>
      </c>
      <c r="H129" s="1">
        <f t="shared" si="19"/>
        <v>0</v>
      </c>
      <c r="I129" s="2">
        <f t="shared" si="29"/>
        <v>0</v>
      </c>
    </row>
    <row r="130" spans="1:9" x14ac:dyDescent="0.25">
      <c r="A130" s="119"/>
      <c r="B130" s="125"/>
      <c r="C130" t="s">
        <v>55</v>
      </c>
      <c r="D130" s="1">
        <v>0</v>
      </c>
      <c r="E130" s="1">
        <v>0</v>
      </c>
      <c r="F130" s="1">
        <v>0</v>
      </c>
      <c r="G130" s="1">
        <v>0</v>
      </c>
      <c r="H130" s="1">
        <f t="shared" si="19"/>
        <v>0</v>
      </c>
      <c r="I130" s="2">
        <f t="shared" si="29"/>
        <v>0</v>
      </c>
    </row>
    <row r="131" spans="1:9" x14ac:dyDescent="0.25">
      <c r="A131" s="119"/>
      <c r="B131" s="125"/>
      <c r="C131" t="s">
        <v>56</v>
      </c>
      <c r="D131" s="1">
        <v>1</v>
      </c>
      <c r="E131" s="1">
        <v>1</v>
      </c>
      <c r="F131" s="1">
        <v>2</v>
      </c>
      <c r="G131" s="1">
        <v>1</v>
      </c>
      <c r="H131" s="1">
        <f t="shared" si="19"/>
        <v>5</v>
      </c>
      <c r="I131" s="2">
        <f t="shared" si="29"/>
        <v>0.5</v>
      </c>
    </row>
    <row r="132" spans="1:9" x14ac:dyDescent="0.25">
      <c r="A132" s="119"/>
      <c r="B132" s="125"/>
      <c r="C132" t="s">
        <v>50</v>
      </c>
      <c r="D132" s="1">
        <v>0</v>
      </c>
      <c r="E132" s="1">
        <v>0</v>
      </c>
      <c r="F132" s="1">
        <v>0</v>
      </c>
      <c r="G132" s="1">
        <v>0</v>
      </c>
      <c r="H132" s="1">
        <f t="shared" si="19"/>
        <v>0</v>
      </c>
      <c r="I132" s="2">
        <f>H132/$H$133</f>
        <v>0</v>
      </c>
    </row>
    <row r="133" spans="1:9" x14ac:dyDescent="0.25">
      <c r="A133" s="119"/>
      <c r="B133" s="126"/>
      <c r="C133" s="21" t="s">
        <v>7</v>
      </c>
      <c r="D133" s="15">
        <v>3</v>
      </c>
      <c r="E133" s="15">
        <v>1</v>
      </c>
      <c r="F133" s="15">
        <v>5</v>
      </c>
      <c r="G133" s="15">
        <f t="shared" ref="G133" si="30">SUM(G126:G132)</f>
        <v>1</v>
      </c>
      <c r="H133" s="15">
        <f t="shared" ref="H133" si="31">SUM(H126:H132)</f>
        <v>10</v>
      </c>
      <c r="I133" s="16">
        <f t="shared" si="29"/>
        <v>1</v>
      </c>
    </row>
    <row r="134" spans="1:9" x14ac:dyDescent="0.25">
      <c r="A134" s="119"/>
      <c r="B134" s="124" t="s">
        <v>55</v>
      </c>
      <c r="C134" t="s">
        <v>52</v>
      </c>
      <c r="D134" s="1">
        <v>0</v>
      </c>
      <c r="E134" s="1">
        <v>1</v>
      </c>
      <c r="F134" s="1">
        <v>0</v>
      </c>
      <c r="G134" s="1">
        <v>0</v>
      </c>
      <c r="H134" s="1">
        <f t="shared" si="19"/>
        <v>1</v>
      </c>
      <c r="I134" s="2">
        <f t="shared" ref="I134:I141" si="32">H134/$H$141</f>
        <v>0.1111111111111111</v>
      </c>
    </row>
    <row r="135" spans="1:9" x14ac:dyDescent="0.25">
      <c r="A135" s="119"/>
      <c r="B135" s="125"/>
      <c r="C135" t="s">
        <v>53</v>
      </c>
      <c r="D135" s="1">
        <v>1</v>
      </c>
      <c r="E135" s="1">
        <v>1</v>
      </c>
      <c r="F135" s="1">
        <v>1</v>
      </c>
      <c r="G135" s="1">
        <v>0</v>
      </c>
      <c r="H135" s="1">
        <f t="shared" si="19"/>
        <v>3</v>
      </c>
      <c r="I135" s="2">
        <f t="shared" si="32"/>
        <v>0.33333333333333331</v>
      </c>
    </row>
    <row r="136" spans="1:9" x14ac:dyDescent="0.25">
      <c r="A136" s="119"/>
      <c r="B136" s="125"/>
      <c r="C136" t="s">
        <v>76</v>
      </c>
      <c r="D136" s="1">
        <v>0</v>
      </c>
      <c r="E136" s="1">
        <v>1</v>
      </c>
      <c r="F136" s="1">
        <v>1</v>
      </c>
      <c r="G136" s="1">
        <v>0</v>
      </c>
      <c r="H136" s="1">
        <f t="shared" si="19"/>
        <v>2</v>
      </c>
      <c r="I136" s="2">
        <f t="shared" si="32"/>
        <v>0.22222222222222221</v>
      </c>
    </row>
    <row r="137" spans="1:9" x14ac:dyDescent="0.25">
      <c r="A137" s="119"/>
      <c r="B137" s="125"/>
      <c r="C137" t="s">
        <v>54</v>
      </c>
      <c r="D137" s="1">
        <v>0</v>
      </c>
      <c r="E137" s="1">
        <v>0</v>
      </c>
      <c r="F137" s="1">
        <v>0</v>
      </c>
      <c r="G137" s="1">
        <v>0</v>
      </c>
      <c r="H137" s="1">
        <f t="shared" si="19"/>
        <v>0</v>
      </c>
      <c r="I137" s="2">
        <f t="shared" si="32"/>
        <v>0</v>
      </c>
    </row>
    <row r="138" spans="1:9" x14ac:dyDescent="0.25">
      <c r="A138" s="119"/>
      <c r="B138" s="125"/>
      <c r="C138" t="s">
        <v>55</v>
      </c>
      <c r="D138" s="1">
        <v>0</v>
      </c>
      <c r="E138" s="1">
        <v>0</v>
      </c>
      <c r="F138" s="1">
        <v>0</v>
      </c>
      <c r="G138" s="1">
        <v>0</v>
      </c>
      <c r="H138" s="1">
        <f t="shared" si="19"/>
        <v>0</v>
      </c>
      <c r="I138" s="2">
        <f t="shared" si="32"/>
        <v>0</v>
      </c>
    </row>
    <row r="139" spans="1:9" x14ac:dyDescent="0.25">
      <c r="A139" s="119"/>
      <c r="B139" s="125"/>
      <c r="C139" t="s">
        <v>56</v>
      </c>
      <c r="D139" s="1">
        <v>0</v>
      </c>
      <c r="E139" s="1">
        <v>2</v>
      </c>
      <c r="F139" s="1">
        <v>1</v>
      </c>
      <c r="G139" s="1">
        <v>0</v>
      </c>
      <c r="H139" s="1">
        <f t="shared" si="19"/>
        <v>3</v>
      </c>
      <c r="I139" s="2">
        <f t="shared" si="32"/>
        <v>0.33333333333333331</v>
      </c>
    </row>
    <row r="140" spans="1:9" x14ac:dyDescent="0.25">
      <c r="A140" s="119"/>
      <c r="B140" s="125"/>
      <c r="C140" t="s">
        <v>50</v>
      </c>
      <c r="D140" s="1">
        <v>0</v>
      </c>
      <c r="E140" s="1">
        <v>0</v>
      </c>
      <c r="F140" s="1">
        <v>0</v>
      </c>
      <c r="G140" s="1">
        <v>0</v>
      </c>
      <c r="H140" s="1">
        <f t="shared" si="19"/>
        <v>0</v>
      </c>
      <c r="I140" s="2">
        <f>H140/$H$141</f>
        <v>0</v>
      </c>
    </row>
    <row r="141" spans="1:9" x14ac:dyDescent="0.25">
      <c r="A141" s="120"/>
      <c r="B141" s="126"/>
      <c r="C141" s="21" t="s">
        <v>7</v>
      </c>
      <c r="D141" s="15">
        <f>SUM(D134:D140)</f>
        <v>1</v>
      </c>
      <c r="E141" s="15">
        <f>SUM(E134:E140)</f>
        <v>5</v>
      </c>
      <c r="F141" s="15">
        <f>SUM(F134:F140)</f>
        <v>3</v>
      </c>
      <c r="G141" s="15">
        <f t="shared" ref="G141:H141" si="33">SUM(G134:G140)</f>
        <v>0</v>
      </c>
      <c r="H141" s="15">
        <f t="shared" si="33"/>
        <v>9</v>
      </c>
      <c r="I141" s="16">
        <f t="shared" si="32"/>
        <v>1</v>
      </c>
    </row>
    <row r="142" spans="1:9" x14ac:dyDescent="0.25">
      <c r="C142" s="78"/>
      <c r="D142" s="78"/>
      <c r="E142" s="78"/>
      <c r="F142" s="78"/>
      <c r="G142" s="78"/>
      <c r="H142" s="78"/>
      <c r="I142" s="78"/>
    </row>
    <row r="143" spans="1:9" ht="29.25" customHeight="1" x14ac:dyDescent="0.25">
      <c r="C143" s="108" t="s">
        <v>122</v>
      </c>
      <c r="D143" s="107"/>
      <c r="E143" s="107"/>
      <c r="F143" s="107"/>
      <c r="G143" s="107"/>
      <c r="H143" s="107"/>
      <c r="I143" s="109"/>
    </row>
    <row r="144" spans="1:9" x14ac:dyDescent="0.25">
      <c r="C144" s="128"/>
      <c r="D144" s="128"/>
      <c r="E144" s="128"/>
      <c r="F144" s="128"/>
      <c r="G144" s="128"/>
      <c r="H144" s="128"/>
      <c r="I144" s="128"/>
    </row>
    <row r="145" spans="3:9" x14ac:dyDescent="0.25">
      <c r="C145" s="129" t="s">
        <v>123</v>
      </c>
      <c r="D145" s="129"/>
      <c r="E145" s="129"/>
      <c r="F145" s="129"/>
      <c r="G145" s="129"/>
      <c r="H145" s="129"/>
      <c r="I145" s="129"/>
    </row>
    <row r="146" spans="3:9" x14ac:dyDescent="0.25">
      <c r="C146" s="130" t="s">
        <v>124</v>
      </c>
      <c r="D146" s="131"/>
      <c r="E146" s="131"/>
      <c r="F146" s="131"/>
      <c r="G146" s="131"/>
      <c r="H146" s="131"/>
      <c r="I146" s="132"/>
    </row>
    <row r="147" spans="3:9" ht="65.25" customHeight="1" thickBot="1" x14ac:dyDescent="0.3">
      <c r="C147" s="70" t="s">
        <v>125</v>
      </c>
      <c r="D147" s="71"/>
      <c r="E147" s="71"/>
      <c r="F147" s="71"/>
      <c r="G147" s="71"/>
      <c r="H147" s="71"/>
      <c r="I147" s="72"/>
    </row>
    <row r="148" spans="3:9" x14ac:dyDescent="0.25">
      <c r="C148" s="127"/>
      <c r="D148" s="127"/>
      <c r="E148" s="127"/>
      <c r="F148" s="127"/>
      <c r="G148" s="127"/>
      <c r="H148" s="127"/>
      <c r="I148" s="127"/>
    </row>
  </sheetData>
  <mergeCells count="33">
    <mergeCell ref="C148:I148"/>
    <mergeCell ref="C142:I142"/>
    <mergeCell ref="C143:I143"/>
    <mergeCell ref="C144:I144"/>
    <mergeCell ref="C145:I145"/>
    <mergeCell ref="C146:I146"/>
    <mergeCell ref="C147:I147"/>
    <mergeCell ref="A93:A141"/>
    <mergeCell ref="B93:B101"/>
    <mergeCell ref="B102:B109"/>
    <mergeCell ref="B110:B117"/>
    <mergeCell ref="B118:B125"/>
    <mergeCell ref="B126:B133"/>
    <mergeCell ref="B134:B141"/>
    <mergeCell ref="C72:I72"/>
    <mergeCell ref="C82:I82"/>
    <mergeCell ref="C89:I89"/>
    <mergeCell ref="C90:I90"/>
    <mergeCell ref="C46:I46"/>
    <mergeCell ref="C47:I47"/>
    <mergeCell ref="C52:I52"/>
    <mergeCell ref="C53:I56"/>
    <mergeCell ref="C66:I66"/>
    <mergeCell ref="C57:I57"/>
    <mergeCell ref="C45:I45"/>
    <mergeCell ref="C8:I8"/>
    <mergeCell ref="C1:I1"/>
    <mergeCell ref="C2:I2"/>
    <mergeCell ref="C3:I7"/>
    <mergeCell ref="C13:I13"/>
    <mergeCell ref="C28:I28"/>
    <mergeCell ref="C39:I39"/>
    <mergeCell ref="C14:I14"/>
  </mergeCells>
  <hyperlinks>
    <hyperlink ref="C146:I146" r:id="rId1" display="Use of Force Documentation" xr:uid="{1FAF320A-84E1-4B3E-BCBA-6BCF1739F173}"/>
    <hyperlink ref="C145:I145" r:id="rId2" display="Use of Force" xr:uid="{30E26749-CB85-4528-AE93-72CD726FE25B}"/>
  </hyperlinks>
  <pageMargins left="0.25" right="0.25" top="0.75" bottom="0.75" header="0.3" footer="0.3"/>
  <pageSetup scale="90" fitToWidth="0" fitToHeight="0" orientation="portrait" r:id="rId3"/>
  <drawing r:id="rId4"/>
  <tableParts count="10">
    <tablePart r:id="rId5"/>
    <tablePart r:id="rId6"/>
    <tablePart r:id="rId7"/>
    <tablePart r:id="rId8"/>
    <tablePart r:id="rId9"/>
    <tablePart r:id="rId10"/>
    <tablePart r:id="rId11"/>
    <tablePart r:id="rId12"/>
    <tablePart r:id="rId13"/>
    <tablePart r:id="rId1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4D12516808614ABF10E8916EA0A442" ma:contentTypeVersion="8" ma:contentTypeDescription="Create a new document." ma:contentTypeScope="" ma:versionID="400cd80e341bc9c453813bdc7faf491d">
  <xsd:schema xmlns:xsd="http://www.w3.org/2001/XMLSchema" xmlns:xs="http://www.w3.org/2001/XMLSchema" xmlns:p="http://schemas.microsoft.com/office/2006/metadata/properties" xmlns:ns3="53f27b6d-9adb-4f03-a0d6-31387e30933b" xmlns:ns4="4fcfff7d-460a-47da-95a3-2ef3f576969a" targetNamespace="http://schemas.microsoft.com/office/2006/metadata/properties" ma:root="true" ma:fieldsID="b6ebadc5134b2863ebe2c03000540084" ns3:_="" ns4:_="">
    <xsd:import namespace="53f27b6d-9adb-4f03-a0d6-31387e30933b"/>
    <xsd:import namespace="4fcfff7d-460a-47da-95a3-2ef3f576969a"/>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f27b6d-9adb-4f03-a0d6-31387e30933b"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cfff7d-460a-47da-95a3-2ef3f576969a"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53f27b6d-9adb-4f03-a0d6-31387e30933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C93852-6192-4E71-809A-7E6562A999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f27b6d-9adb-4f03-a0d6-31387e30933b"/>
    <ds:schemaRef ds:uri="4fcfff7d-460a-47da-95a3-2ef3f57696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43B898-06D1-41C4-AB15-0CED6B1EFE21}">
  <ds:schemaRefs>
    <ds:schemaRef ds:uri="http://schemas.microsoft.com/office/2006/metadata/properties"/>
    <ds:schemaRef ds:uri="http://schemas.microsoft.com/office/infopath/2007/PartnerControls"/>
    <ds:schemaRef ds:uri="53f27b6d-9adb-4f03-a0d6-31387e30933b"/>
  </ds:schemaRefs>
</ds:datastoreItem>
</file>

<file path=customXml/itemProps3.xml><?xml version="1.0" encoding="utf-8"?>
<ds:datastoreItem xmlns:ds="http://schemas.openxmlformats.org/officeDocument/2006/customXml" ds:itemID="{82679CC8-5D78-4203-9227-62FA28A3A41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IBR</vt:lpstr>
      <vt:lpstr>Arrests</vt:lpstr>
      <vt:lpstr>Traffic Stops</vt:lpstr>
      <vt:lpstr>Use of Force</vt:lpstr>
    </vt:vector>
  </TitlesOfParts>
  <Manager/>
  <Company>City of Madison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pddnh</dc:creator>
  <cp:keywords/>
  <dc:description/>
  <cp:lastModifiedBy>Sass, Britni</cp:lastModifiedBy>
  <cp:revision/>
  <dcterms:created xsi:type="dcterms:W3CDTF">2016-05-12T13:52:51Z</dcterms:created>
  <dcterms:modified xsi:type="dcterms:W3CDTF">2025-04-21T12:15:27Z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0x010100FA4D12516808614ABF10E8916EA0A442</vt:lpwstr>
  </property>
</Properties>
</file>