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15165" windowHeight="8310" firstSheet="4" activeTab="5"/>
  </bookViews>
  <sheets>
    <sheet name="Full System Pop and Avg Day" sheetId="2" r:id="rId1"/>
    <sheet name="Low Maximum Day by Zone" sheetId="3" r:id="rId2"/>
    <sheet name="Median Maximum Day by Zone" sheetId="5" r:id="rId3"/>
    <sheet name="High Maximum Day by Zone" sheetId="6" r:id="rId4"/>
    <sheet name="Option #1 Average Day " sheetId="9" r:id="rId5"/>
    <sheet name="Option #2 Maximum" sheetId="4" r:id="rId6"/>
    <sheet name="Option #3 Max 10 Day" sheetId="7" r:id="rId7"/>
    <sheet name="Option #4 Max 10 Day at 85%" sheetId="8" r:id="rId8"/>
    <sheet name="Peaking Factors from Memo" sheetId="10" r:id="rId9"/>
    <sheet name="LDN Original Spreadsheet" sheetId="1" r:id="rId10"/>
  </sheets>
  <calcPr calcId="125725"/>
</workbook>
</file>

<file path=xl/calcChain.xml><?xml version="1.0" encoding="utf-8"?>
<calcChain xmlns="http://schemas.openxmlformats.org/spreadsheetml/2006/main">
  <c r="A17" i="10"/>
  <c r="A16"/>
  <c r="B35" i="2"/>
  <c r="D35" s="1"/>
  <c r="F35" s="1"/>
  <c r="B32"/>
  <c r="B31"/>
  <c r="D31" s="1"/>
  <c r="B26"/>
  <c r="B23"/>
  <c r="B22"/>
  <c r="E37" i="9"/>
  <c r="D37"/>
  <c r="C37"/>
  <c r="Q35"/>
  <c r="Q37" s="1"/>
  <c r="P35"/>
  <c r="P37" s="1"/>
  <c r="O35"/>
  <c r="O37" s="1"/>
  <c r="N35"/>
  <c r="N37" s="1"/>
  <c r="M35"/>
  <c r="M37" s="1"/>
  <c r="L35"/>
  <c r="L37" s="1"/>
  <c r="K35"/>
  <c r="K37" s="1"/>
  <c r="J35"/>
  <c r="J37" s="1"/>
  <c r="I35"/>
  <c r="I37" s="1"/>
  <c r="H37"/>
  <c r="G37"/>
  <c r="F37"/>
  <c r="Q32" i="4"/>
  <c r="P32"/>
  <c r="O32"/>
  <c r="N32"/>
  <c r="M32"/>
  <c r="L32"/>
  <c r="K32"/>
  <c r="J32"/>
  <c r="I32"/>
  <c r="Q32" i="7"/>
  <c r="Q34" s="1"/>
  <c r="P32"/>
  <c r="O32"/>
  <c r="N32"/>
  <c r="N34" s="1"/>
  <c r="M32"/>
  <c r="M34" s="1"/>
  <c r="L32"/>
  <c r="K32"/>
  <c r="J32"/>
  <c r="J34" s="1"/>
  <c r="I32"/>
  <c r="I34" s="1"/>
  <c r="F34"/>
  <c r="Q32" i="8"/>
  <c r="P32"/>
  <c r="O32"/>
  <c r="N32"/>
  <c r="N34" s="1"/>
  <c r="M32"/>
  <c r="L32"/>
  <c r="K32"/>
  <c r="J32"/>
  <c r="I32"/>
  <c r="E34"/>
  <c r="D34"/>
  <c r="C34"/>
  <c r="Q34"/>
  <c r="P34"/>
  <c r="O34"/>
  <c r="M34"/>
  <c r="L34"/>
  <c r="K34"/>
  <c r="J34"/>
  <c r="I34"/>
  <c r="H34"/>
  <c r="G34"/>
  <c r="F34"/>
  <c r="H34" i="7"/>
  <c r="E34"/>
  <c r="D34"/>
  <c r="C34"/>
  <c r="P34"/>
  <c r="O34"/>
  <c r="L34"/>
  <c r="K34"/>
  <c r="G34"/>
  <c r="E34" i="4"/>
  <c r="D34"/>
  <c r="Q34"/>
  <c r="P34"/>
  <c r="O34"/>
  <c r="N34"/>
  <c r="M34"/>
  <c r="L34"/>
  <c r="K34"/>
  <c r="J34"/>
  <c r="I34"/>
  <c r="H34"/>
  <c r="G34"/>
  <c r="F34"/>
  <c r="C34"/>
  <c r="D16" i="6"/>
  <c r="C16"/>
  <c r="B16"/>
  <c r="E15"/>
  <c r="E14"/>
  <c r="E13"/>
  <c r="E16" s="1"/>
  <c r="E12"/>
  <c r="D16" i="5"/>
  <c r="C16"/>
  <c r="B16"/>
  <c r="E15"/>
  <c r="E14"/>
  <c r="E13"/>
  <c r="E12"/>
  <c r="E33" i="2"/>
  <c r="E34" s="1"/>
  <c r="D32"/>
  <c r="F32" s="1"/>
  <c r="D26"/>
  <c r="F26" s="1"/>
  <c r="E24"/>
  <c r="E25" s="1"/>
  <c r="C23"/>
  <c r="D23" s="1"/>
  <c r="D22"/>
  <c r="F22" s="1"/>
  <c r="E12" i="3"/>
  <c r="E13"/>
  <c r="E14"/>
  <c r="F14" s="1"/>
  <c r="I14" s="1"/>
  <c r="E15"/>
  <c r="F15" s="1"/>
  <c r="H15" s="1"/>
  <c r="F12"/>
  <c r="I12" s="1"/>
  <c r="D16"/>
  <c r="C16"/>
  <c r="B16"/>
  <c r="E15" i="2"/>
  <c r="E16" s="1"/>
  <c r="F16" s="1"/>
  <c r="B16"/>
  <c r="B34" s="1"/>
  <c r="D34" s="1"/>
  <c r="B15"/>
  <c r="B24" s="1"/>
  <c r="C14"/>
  <c r="D17"/>
  <c r="D16"/>
  <c r="D15"/>
  <c r="F15" s="1"/>
  <c r="G15" s="1"/>
  <c r="N14" i="3" s="1"/>
  <c r="D14" i="2"/>
  <c r="F14" s="1"/>
  <c r="G14" s="1"/>
  <c r="N13" i="3" s="1"/>
  <c r="D13" i="2"/>
  <c r="F13" s="1"/>
  <c r="G13" s="1"/>
  <c r="N12" i="3" s="1"/>
  <c r="L47" i="1"/>
  <c r="K47"/>
  <c r="J47"/>
  <c r="I47"/>
  <c r="H47"/>
  <c r="G47"/>
  <c r="D47"/>
  <c r="L37"/>
  <c r="K37"/>
  <c r="J37"/>
  <c r="I37"/>
  <c r="H37"/>
  <c r="G37"/>
  <c r="F37"/>
  <c r="E37"/>
  <c r="D37"/>
  <c r="L13"/>
  <c r="L18" s="1"/>
  <c r="K12"/>
  <c r="K17" s="1"/>
  <c r="I13"/>
  <c r="I18" s="1"/>
  <c r="H12"/>
  <c r="H17" s="1"/>
  <c r="J11"/>
  <c r="J16" s="1"/>
  <c r="G11"/>
  <c r="G16" s="1"/>
  <c r="F13"/>
  <c r="F18" s="1"/>
  <c r="E12"/>
  <c r="E17" s="1"/>
  <c r="D11"/>
  <c r="D16" s="1"/>
  <c r="J12" i="6" l="1"/>
  <c r="J15"/>
  <c r="J14"/>
  <c r="J13"/>
  <c r="J16" s="1"/>
  <c r="D22" i="3"/>
  <c r="D25"/>
  <c r="O14"/>
  <c r="D23"/>
  <c r="C23"/>
  <c r="C24"/>
  <c r="C25"/>
  <c r="C22"/>
  <c r="O13"/>
  <c r="B25"/>
  <c r="B24"/>
  <c r="G17" i="2"/>
  <c r="N16" i="3" s="1"/>
  <c r="F24" s="1"/>
  <c r="F32" s="1"/>
  <c r="F17" i="2"/>
  <c r="B25"/>
  <c r="D25" s="1"/>
  <c r="B33"/>
  <c r="D33" s="1"/>
  <c r="F34"/>
  <c r="H12" i="3"/>
  <c r="B32"/>
  <c r="C33"/>
  <c r="H14"/>
  <c r="D30"/>
  <c r="C26"/>
  <c r="F11" i="4" s="1"/>
  <c r="D24" i="3"/>
  <c r="D32" s="1"/>
  <c r="F33" i="2"/>
  <c r="B23" i="3"/>
  <c r="B22"/>
  <c r="B30" s="1"/>
  <c r="O12"/>
  <c r="F12" i="6"/>
  <c r="F13"/>
  <c r="F14"/>
  <c r="F15"/>
  <c r="E16" i="5"/>
  <c r="J14" s="1"/>
  <c r="F12"/>
  <c r="F13"/>
  <c r="F14"/>
  <c r="F15"/>
  <c r="G32" i="2"/>
  <c r="N13" i="6" s="1"/>
  <c r="F31" i="2"/>
  <c r="G31" s="1"/>
  <c r="N12" i="6" s="1"/>
  <c r="B25" s="1"/>
  <c r="B33" s="1"/>
  <c r="G34" i="2"/>
  <c r="N15" i="6" s="1"/>
  <c r="G33" i="2"/>
  <c r="N14" i="6" s="1"/>
  <c r="D22" s="1"/>
  <c r="G35" i="2"/>
  <c r="N16" i="6" s="1"/>
  <c r="F25" i="2"/>
  <c r="G25" s="1"/>
  <c r="N15" i="5" s="1"/>
  <c r="F23" i="2"/>
  <c r="G23" s="1"/>
  <c r="N13" i="5" s="1"/>
  <c r="G26" i="2"/>
  <c r="N16" i="5" s="1"/>
  <c r="F23" s="1"/>
  <c r="G22" i="2"/>
  <c r="N12" i="5" s="1"/>
  <c r="D24" i="2"/>
  <c r="E16" i="3"/>
  <c r="J14" s="1"/>
  <c r="G14" s="1"/>
  <c r="I15"/>
  <c r="F13"/>
  <c r="H13" s="1"/>
  <c r="C31" s="1"/>
  <c r="J15"/>
  <c r="G16" i="2"/>
  <c r="N15" i="3" s="1"/>
  <c r="L45" i="1"/>
  <c r="L41"/>
  <c r="L43"/>
  <c r="K45"/>
  <c r="K41"/>
  <c r="K43"/>
  <c r="J41"/>
  <c r="J45"/>
  <c r="J43"/>
  <c r="I41"/>
  <c r="I43"/>
  <c r="I45"/>
  <c r="H41"/>
  <c r="H43"/>
  <c r="H45"/>
  <c r="G45"/>
  <c r="G41"/>
  <c r="G43"/>
  <c r="F41"/>
  <c r="F47"/>
  <c r="F45"/>
  <c r="F43"/>
  <c r="E47"/>
  <c r="E45"/>
  <c r="E43"/>
  <c r="E41"/>
  <c r="D41"/>
  <c r="D43"/>
  <c r="D45"/>
  <c r="C30" i="3" l="1"/>
  <c r="O16"/>
  <c r="J13" i="5"/>
  <c r="D30" i="6"/>
  <c r="J12" i="5"/>
  <c r="G12" s="1"/>
  <c r="J15"/>
  <c r="B26" i="3"/>
  <c r="C14" i="9" s="1"/>
  <c r="D26" i="3"/>
  <c r="I11" i="7" s="1"/>
  <c r="B33" i="3"/>
  <c r="E25"/>
  <c r="E33" s="1"/>
  <c r="E22"/>
  <c r="O15"/>
  <c r="E23"/>
  <c r="E24"/>
  <c r="E32" s="1"/>
  <c r="F22"/>
  <c r="F23"/>
  <c r="F25"/>
  <c r="F33" s="1"/>
  <c r="C32"/>
  <c r="C34" s="1"/>
  <c r="F11" i="7"/>
  <c r="F14" i="9"/>
  <c r="F42" s="1"/>
  <c r="F11" i="8"/>
  <c r="B31" i="3"/>
  <c r="K15"/>
  <c r="D33"/>
  <c r="B24" i="5"/>
  <c r="B32" s="1"/>
  <c r="B25"/>
  <c r="B33" s="1"/>
  <c r="O12"/>
  <c r="B22"/>
  <c r="B23"/>
  <c r="B34" i="3"/>
  <c r="C14" i="8" s="1"/>
  <c r="C16" s="1"/>
  <c r="F22" i="5"/>
  <c r="C11" i="8"/>
  <c r="C11" i="4"/>
  <c r="C14" i="7"/>
  <c r="C16" s="1"/>
  <c r="B23" i="6"/>
  <c r="B31" s="1"/>
  <c r="B22"/>
  <c r="B30" s="1"/>
  <c r="O12"/>
  <c r="B24"/>
  <c r="B32" s="1"/>
  <c r="F25" i="5"/>
  <c r="F24"/>
  <c r="O16"/>
  <c r="E24"/>
  <c r="E23"/>
  <c r="E22"/>
  <c r="E25"/>
  <c r="O15"/>
  <c r="C25"/>
  <c r="O13"/>
  <c r="C24"/>
  <c r="C23"/>
  <c r="C22"/>
  <c r="O15" i="6"/>
  <c r="E25"/>
  <c r="E33" s="1"/>
  <c r="E24"/>
  <c r="E32" s="1"/>
  <c r="E23"/>
  <c r="E31" s="1"/>
  <c r="E22"/>
  <c r="D24"/>
  <c r="D32" s="1"/>
  <c r="C24"/>
  <c r="C32" s="1"/>
  <c r="O13"/>
  <c r="C23"/>
  <c r="C31" s="1"/>
  <c r="C22"/>
  <c r="C25"/>
  <c r="C33" s="1"/>
  <c r="F22"/>
  <c r="O16"/>
  <c r="F25"/>
  <c r="F33" s="1"/>
  <c r="F24"/>
  <c r="F32" s="1"/>
  <c r="F23"/>
  <c r="F31" s="1"/>
  <c r="D25"/>
  <c r="D33" s="1"/>
  <c r="O14"/>
  <c r="D23"/>
  <c r="D31" s="1"/>
  <c r="I13"/>
  <c r="G13"/>
  <c r="H13"/>
  <c r="I14"/>
  <c r="G14"/>
  <c r="H14"/>
  <c r="I15"/>
  <c r="G15"/>
  <c r="H15"/>
  <c r="I12"/>
  <c r="G12"/>
  <c r="H12"/>
  <c r="I13" i="5"/>
  <c r="K13" s="1"/>
  <c r="B31"/>
  <c r="G13"/>
  <c r="H13"/>
  <c r="F31" s="1"/>
  <c r="I14"/>
  <c r="G14"/>
  <c r="H14"/>
  <c r="I15"/>
  <c r="H15"/>
  <c r="I12"/>
  <c r="H12"/>
  <c r="F24" i="2"/>
  <c r="G24" s="1"/>
  <c r="N14" i="5" s="1"/>
  <c r="K14" i="3"/>
  <c r="J12"/>
  <c r="K12" s="1"/>
  <c r="G15"/>
  <c r="J13"/>
  <c r="G13" s="1"/>
  <c r="I13"/>
  <c r="C11" i="7" l="1"/>
  <c r="I11" i="4"/>
  <c r="I14" i="9"/>
  <c r="F17"/>
  <c r="F19" s="1"/>
  <c r="F14" i="4"/>
  <c r="F16" s="1"/>
  <c r="F41" s="1"/>
  <c r="F14" i="7"/>
  <c r="F16" s="1"/>
  <c r="F41" s="1"/>
  <c r="F14" i="8"/>
  <c r="F16" s="1"/>
  <c r="F39" s="1"/>
  <c r="C14" i="4"/>
  <c r="C16" s="1"/>
  <c r="C43" s="1"/>
  <c r="F30" i="5"/>
  <c r="K12"/>
  <c r="J16"/>
  <c r="G15"/>
  <c r="E31"/>
  <c r="E33"/>
  <c r="E32"/>
  <c r="F33"/>
  <c r="F32"/>
  <c r="I11" i="8"/>
  <c r="F30" i="3"/>
  <c r="F26"/>
  <c r="E26"/>
  <c r="E30"/>
  <c r="C17" i="9"/>
  <c r="C19" s="1"/>
  <c r="K13" i="3"/>
  <c r="K16" s="1"/>
  <c r="F44" i="9"/>
  <c r="E31" i="3"/>
  <c r="E34" s="1"/>
  <c r="D31"/>
  <c r="D34" s="1"/>
  <c r="F31"/>
  <c r="C33" i="5"/>
  <c r="B26"/>
  <c r="B30"/>
  <c r="B34" s="1"/>
  <c r="C31"/>
  <c r="B34" i="6"/>
  <c r="E14" i="7" s="1"/>
  <c r="E16" s="1"/>
  <c r="C39" i="8"/>
  <c r="C43"/>
  <c r="C45"/>
  <c r="C41"/>
  <c r="I42" i="9"/>
  <c r="I44"/>
  <c r="C43" i="7"/>
  <c r="C45"/>
  <c r="C39"/>
  <c r="C41"/>
  <c r="C26" i="5"/>
  <c r="G11" i="7" s="1"/>
  <c r="C32" i="5"/>
  <c r="F26"/>
  <c r="P11" i="4" s="1"/>
  <c r="B26" i="6"/>
  <c r="E14" i="9" s="1"/>
  <c r="C44"/>
  <c r="C42"/>
  <c r="C45" i="4"/>
  <c r="O14" i="5"/>
  <c r="D25"/>
  <c r="D33" s="1"/>
  <c r="D24"/>
  <c r="D32" s="1"/>
  <c r="D22"/>
  <c r="D23"/>
  <c r="D31" s="1"/>
  <c r="C30"/>
  <c r="G11" i="4"/>
  <c r="G11" i="8"/>
  <c r="E30" i="5"/>
  <c r="E26"/>
  <c r="F26" i="6"/>
  <c r="F30"/>
  <c r="F34" s="1"/>
  <c r="E30"/>
  <c r="E26"/>
  <c r="D26"/>
  <c r="C26"/>
  <c r="C30"/>
  <c r="C34" s="1"/>
  <c r="K14"/>
  <c r="K13"/>
  <c r="G16"/>
  <c r="K12"/>
  <c r="K15"/>
  <c r="G16" i="5"/>
  <c r="K14"/>
  <c r="K15"/>
  <c r="G12" i="3"/>
  <c r="G16" s="1"/>
  <c r="J16"/>
  <c r="F43" i="8" l="1"/>
  <c r="F45"/>
  <c r="F39" i="7"/>
  <c r="F43"/>
  <c r="C41" i="4"/>
  <c r="C39"/>
  <c r="F41" i="8"/>
  <c r="F39" i="4"/>
  <c r="E14"/>
  <c r="E16" s="1"/>
  <c r="E43" s="1"/>
  <c r="P11" i="8"/>
  <c r="F45" i="7"/>
  <c r="F43" i="4"/>
  <c r="F45"/>
  <c r="P11" i="7"/>
  <c r="C34" i="5"/>
  <c r="E11" i="7"/>
  <c r="E14" i="8"/>
  <c r="E16" s="1"/>
  <c r="E45" s="1"/>
  <c r="K16" i="5"/>
  <c r="F34" i="3"/>
  <c r="O14" i="8" s="1"/>
  <c r="O16" s="1"/>
  <c r="G14" i="9"/>
  <c r="G44" s="1"/>
  <c r="P14"/>
  <c r="P42" s="1"/>
  <c r="O14"/>
  <c r="O11" i="4"/>
  <c r="O11" i="8"/>
  <c r="O11" i="7"/>
  <c r="L11" i="8"/>
  <c r="L14" i="9"/>
  <c r="L11" i="7"/>
  <c r="L11" i="4"/>
  <c r="O17" i="9"/>
  <c r="O19" s="1"/>
  <c r="L14" i="7"/>
  <c r="L16" s="1"/>
  <c r="L14" i="8"/>
  <c r="L16" s="1"/>
  <c r="L17" i="9"/>
  <c r="L19" s="1"/>
  <c r="L14" i="4"/>
  <c r="L16" s="1"/>
  <c r="I14" i="8"/>
  <c r="I16" s="1"/>
  <c r="I14" i="4"/>
  <c r="I16" s="1"/>
  <c r="I14" i="7"/>
  <c r="I16" s="1"/>
  <c r="I17" i="9"/>
  <c r="I19" s="1"/>
  <c r="E11" i="8"/>
  <c r="E17" i="9"/>
  <c r="E19" s="1"/>
  <c r="E11" i="4"/>
  <c r="D14" i="7"/>
  <c r="D16" s="1"/>
  <c r="D45" s="1"/>
  <c r="D14" i="8"/>
  <c r="D16" s="1"/>
  <c r="D45" s="1"/>
  <c r="D14" i="4"/>
  <c r="D16" s="1"/>
  <c r="D39" s="1"/>
  <c r="D17" i="9"/>
  <c r="D19" s="1"/>
  <c r="D14"/>
  <c r="D11" i="4"/>
  <c r="D11" i="8"/>
  <c r="D11" i="7"/>
  <c r="E43"/>
  <c r="E39"/>
  <c r="E45"/>
  <c r="E41"/>
  <c r="E44" i="9"/>
  <c r="E42"/>
  <c r="P44"/>
  <c r="G14" i="7"/>
  <c r="G16" s="1"/>
  <c r="G17" i="9"/>
  <c r="G19" s="1"/>
  <c r="G14" i="8"/>
  <c r="G16" s="1"/>
  <c r="G14" i="4"/>
  <c r="G16" s="1"/>
  <c r="M11" i="7"/>
  <c r="M11" i="4"/>
  <c r="M14" i="9"/>
  <c r="M11" i="8"/>
  <c r="D30" i="5"/>
  <c r="D34" s="1"/>
  <c r="D26"/>
  <c r="Q17" i="9"/>
  <c r="Q19" s="1"/>
  <c r="Q14" i="8"/>
  <c r="Q16" s="1"/>
  <c r="Q14" i="4"/>
  <c r="Q16" s="1"/>
  <c r="Q14" i="7"/>
  <c r="Q16" s="1"/>
  <c r="H14" i="9"/>
  <c r="H11" i="8"/>
  <c r="H11" i="7"/>
  <c r="H11" i="4"/>
  <c r="H14"/>
  <c r="H16" s="1"/>
  <c r="H14" i="7"/>
  <c r="H16" s="1"/>
  <c r="H17" i="9"/>
  <c r="H19" s="1"/>
  <c r="H14" i="8"/>
  <c r="H16" s="1"/>
  <c r="N11" i="7"/>
  <c r="N11" i="8"/>
  <c r="N11" i="4"/>
  <c r="N14" i="9"/>
  <c r="K11" i="7"/>
  <c r="K14" i="9"/>
  <c r="K11" i="8"/>
  <c r="K11" i="4"/>
  <c r="Q14" i="9"/>
  <c r="Q11" i="8"/>
  <c r="Q11" i="7"/>
  <c r="Q11" i="4"/>
  <c r="E34" i="6"/>
  <c r="D34"/>
  <c r="K16"/>
  <c r="E34" i="5"/>
  <c r="F34"/>
  <c r="E43" i="8" l="1"/>
  <c r="E41"/>
  <c r="E41" i="4"/>
  <c r="E45"/>
  <c r="E39"/>
  <c r="E39" i="8"/>
  <c r="D41"/>
  <c r="G42" i="9"/>
  <c r="D43" i="8"/>
  <c r="O14" i="7"/>
  <c r="O16" s="1"/>
  <c r="O41" s="1"/>
  <c r="O14" i="4"/>
  <c r="O16" s="1"/>
  <c r="O39" s="1"/>
  <c r="D39" i="7"/>
  <c r="O42" i="9"/>
  <c r="O44"/>
  <c r="L44"/>
  <c r="L42"/>
  <c r="D43" i="7"/>
  <c r="I45" i="8"/>
  <c r="I41"/>
  <c r="I39"/>
  <c r="I43"/>
  <c r="L41" i="7"/>
  <c r="L45"/>
  <c r="L43"/>
  <c r="L39"/>
  <c r="O45"/>
  <c r="I45" i="4"/>
  <c r="I39"/>
  <c r="I43"/>
  <c r="I41"/>
  <c r="L45" i="8"/>
  <c r="L43"/>
  <c r="L39"/>
  <c r="L41"/>
  <c r="I39" i="7"/>
  <c r="I43"/>
  <c r="I45"/>
  <c r="I41"/>
  <c r="D41"/>
  <c r="L41" i="4"/>
  <c r="L43"/>
  <c r="L45"/>
  <c r="L39"/>
  <c r="O41" i="8"/>
  <c r="O39"/>
  <c r="O45"/>
  <c r="O43"/>
  <c r="D41" i="4"/>
  <c r="D45"/>
  <c r="D43"/>
  <c r="D44" i="9"/>
  <c r="D42"/>
  <c r="D39" i="8"/>
  <c r="P17" i="9"/>
  <c r="P19" s="1"/>
  <c r="P14" i="8"/>
  <c r="P16" s="1"/>
  <c r="P14" i="7"/>
  <c r="P16" s="1"/>
  <c r="P14" i="4"/>
  <c r="P16" s="1"/>
  <c r="J17" i="9"/>
  <c r="J19" s="1"/>
  <c r="J14" i="8"/>
  <c r="J16" s="1"/>
  <c r="J14" i="4"/>
  <c r="J16" s="1"/>
  <c r="J14" i="7"/>
  <c r="J16" s="1"/>
  <c r="G41" i="8"/>
  <c r="G45"/>
  <c r="G39"/>
  <c r="G43"/>
  <c r="M14" i="7"/>
  <c r="M16" s="1"/>
  <c r="M17" i="9"/>
  <c r="M19" s="1"/>
  <c r="M14" i="8"/>
  <c r="M16" s="1"/>
  <c r="M14" i="4"/>
  <c r="M16" s="1"/>
  <c r="J11" i="7"/>
  <c r="J11" i="4"/>
  <c r="J14" i="9"/>
  <c r="J11" i="8"/>
  <c r="G45" i="4"/>
  <c r="G43"/>
  <c r="G41"/>
  <c r="G39"/>
  <c r="M42" i="9"/>
  <c r="M44"/>
  <c r="G41" i="7"/>
  <c r="G45"/>
  <c r="G43"/>
  <c r="G39"/>
  <c r="H41" i="8"/>
  <c r="H43"/>
  <c r="H45"/>
  <c r="H39"/>
  <c r="N14" i="4"/>
  <c r="N16" s="1"/>
  <c r="N14" i="8"/>
  <c r="N16" s="1"/>
  <c r="N17" i="9"/>
  <c r="N19" s="1"/>
  <c r="N14" i="7"/>
  <c r="N16" s="1"/>
  <c r="Q42" i="9"/>
  <c r="Q44"/>
  <c r="H43" i="4"/>
  <c r="H39"/>
  <c r="H45"/>
  <c r="H41"/>
  <c r="H44" i="9"/>
  <c r="H42"/>
  <c r="K14" i="7"/>
  <c r="K16" s="1"/>
  <c r="K14" i="4"/>
  <c r="K16" s="1"/>
  <c r="K17" i="9"/>
  <c r="K19" s="1"/>
  <c r="K14" i="8"/>
  <c r="K16" s="1"/>
  <c r="H41" i="7"/>
  <c r="H43"/>
  <c r="H45"/>
  <c r="H39"/>
  <c r="Q45" i="8"/>
  <c r="Q39"/>
  <c r="Q41"/>
  <c r="Q43"/>
  <c r="K44" i="9"/>
  <c r="K42"/>
  <c r="Q43" i="4"/>
  <c r="Q39"/>
  <c r="Q45"/>
  <c r="Q41"/>
  <c r="N44" i="9"/>
  <c r="N42"/>
  <c r="Q45" i="7"/>
  <c r="Q39"/>
  <c r="Q41"/>
  <c r="Q43"/>
  <c r="O43" l="1"/>
  <c r="O39"/>
  <c r="O43" i="4"/>
  <c r="O41"/>
  <c r="O45"/>
  <c r="P43" i="8"/>
  <c r="P41"/>
  <c r="P39"/>
  <c r="P45"/>
  <c r="P41" i="7"/>
  <c r="P43"/>
  <c r="P45"/>
  <c r="P39"/>
  <c r="P45" i="4"/>
  <c r="P39"/>
  <c r="P43"/>
  <c r="P41"/>
  <c r="M41" i="7"/>
  <c r="M43"/>
  <c r="M45"/>
  <c r="M39"/>
  <c r="J45" i="8"/>
  <c r="J41"/>
  <c r="J39"/>
  <c r="J43"/>
  <c r="J44" i="9"/>
  <c r="J42"/>
  <c r="M41" i="8"/>
  <c r="M43"/>
  <c r="M45"/>
  <c r="M39"/>
  <c r="J45" i="4"/>
  <c r="J41"/>
  <c r="J43"/>
  <c r="J39"/>
  <c r="M43"/>
  <c r="M39"/>
  <c r="M45"/>
  <c r="M41"/>
  <c r="J45" i="7"/>
  <c r="J41"/>
  <c r="J39"/>
  <c r="J43"/>
  <c r="K41" i="8"/>
  <c r="K43"/>
  <c r="K39"/>
  <c r="K45"/>
  <c r="K41" i="7"/>
  <c r="K43"/>
  <c r="K39"/>
  <c r="K45"/>
  <c r="N43" i="4"/>
  <c r="N45"/>
  <c r="N39"/>
  <c r="N41"/>
  <c r="K39"/>
  <c r="K43"/>
  <c r="K45"/>
  <c r="K41"/>
  <c r="N39" i="8"/>
  <c r="N41"/>
  <c r="N43"/>
  <c r="N45"/>
  <c r="N39" i="7"/>
  <c r="N41"/>
  <c r="N43"/>
  <c r="N45"/>
</calcChain>
</file>

<file path=xl/sharedStrings.xml><?xml version="1.0" encoding="utf-8"?>
<sst xmlns="http://schemas.openxmlformats.org/spreadsheetml/2006/main" count="433" uniqueCount="100">
  <si>
    <t>Zone</t>
  </si>
  <si>
    <t>Unit Well</t>
  </si>
  <si>
    <t>Capacity (MGD)</t>
  </si>
  <si>
    <t>Year</t>
  </si>
  <si>
    <t>Low (Revised)</t>
  </si>
  <si>
    <t>Mean (Revised)</t>
  </si>
  <si>
    <t>High (Revised)</t>
  </si>
  <si>
    <t xml:space="preserve">                                                                                                                                                                                                                                                                                                                                                                                                                                                                                                                                        </t>
  </si>
  <si>
    <t>6E</t>
  </si>
  <si>
    <t>None</t>
  </si>
  <si>
    <t>East Service Area Total</t>
  </si>
  <si>
    <t>All Wells on Line</t>
  </si>
  <si>
    <t>UW 7 &amp; 8 Out off service due to "dirty water"</t>
  </si>
  <si>
    <t xml:space="preserve">UW 15 Out of service </t>
  </si>
  <si>
    <t>East Side Average Day Water Demand Projections.  (Note 2)</t>
  </si>
  <si>
    <t>East Side Maximum Day Water Demand Projections.  (Note 3)</t>
  </si>
  <si>
    <t>Note 1:</t>
  </si>
  <si>
    <t>Note 2:</t>
  </si>
  <si>
    <t>Calculated that water consumption for the East Side is 35.1% of the total City using B&amp;V Table 13.</t>
  </si>
  <si>
    <t>Note 3:</t>
  </si>
  <si>
    <t>East Side Water Supply, Excess Capacity (Deficiency) in MGD</t>
  </si>
  <si>
    <t>Eastside Water Projections - Black &amp; Veatch Memorandum of January 21, 2011</t>
  </si>
  <si>
    <t xml:space="preserve">System-Wide Average Day Water Demand Projections  (Note 1)                                                                                                                                                        </t>
  </si>
  <si>
    <t xml:space="preserve">B&amp;V Table 16  </t>
  </si>
  <si>
    <t>Low</t>
  </si>
  <si>
    <t>Mean</t>
  </si>
  <si>
    <t>High</t>
  </si>
  <si>
    <t>B&amp;V Peaking Factor of 1.73 times 1.1 to account for additional peaking from conservation</t>
  </si>
  <si>
    <t>plus 1 MGD pumped to 6W during peak periods.</t>
  </si>
  <si>
    <t>Water Demand Projections</t>
  </si>
  <si>
    <t>UW 13 &amp; 23 Out of service and UW 25 is down</t>
  </si>
  <si>
    <t>Available Supply</t>
  </si>
  <si>
    <t>Supply Less Demand</t>
  </si>
  <si>
    <t>Notes</t>
  </si>
  <si>
    <t>Service Area Population (Table 4)</t>
  </si>
  <si>
    <t>Per Capita Average Day Water Use (Table 11)</t>
  </si>
  <si>
    <t>Projected Residential Average Day Water Demand (Calculated)</t>
  </si>
  <si>
    <t>Projected Conservation Average Day Total (MGD)</t>
  </si>
  <si>
    <t>Non-Residential Demands 
(Table 8 &amp; 16)</t>
  </si>
  <si>
    <t>2008 AD Demands (Table 13)</t>
  </si>
  <si>
    <t>2 and 3</t>
  </si>
  <si>
    <t>Total Average Day Demand</t>
  </si>
  <si>
    <t>Percent of Full System</t>
  </si>
  <si>
    <t>Percent of Full System on Max Day (Table 15)</t>
  </si>
  <si>
    <t>2008 MD Demands 
(45.06 MGD)</t>
  </si>
  <si>
    <t>Total Demand</t>
  </si>
  <si>
    <t>Pressure Zone</t>
  </si>
  <si>
    <t>Ratio</t>
  </si>
  <si>
    <t>Weighted Percentage</t>
  </si>
  <si>
    <t>Weighted Average Ratio + 10%</t>
  </si>
  <si>
    <t>Ratio Plus 10%</t>
  </si>
  <si>
    <t>Weighted Ratio</t>
  </si>
  <si>
    <t>90th Percentile</t>
  </si>
  <si>
    <t>80th Percentile</t>
  </si>
  <si>
    <t>Total Max Day Demand</t>
  </si>
  <si>
    <t>Using 90th Percentile peaking factor from Table 5 plus 10% (1.830)</t>
  </si>
  <si>
    <t>Ratio Plus 5%</t>
  </si>
  <si>
    <t>Median</t>
  </si>
  <si>
    <t>Average Day Water Demand Projections for the East Side</t>
  </si>
  <si>
    <t>Maximum Day Water Demand Projections for the East Side</t>
  </si>
  <si>
    <t>Transfer to Zone 6W1</t>
  </si>
  <si>
    <t>Low Projections</t>
  </si>
  <si>
    <t>High Projections</t>
  </si>
  <si>
    <t>Projected Average Day Demands - Low</t>
  </si>
  <si>
    <t>Median Projections</t>
  </si>
  <si>
    <t>Projected Average Day Demands - High</t>
  </si>
  <si>
    <t>Projected Average Day Demands - Median</t>
  </si>
  <si>
    <t>1, 2, &amp; 3</t>
  </si>
  <si>
    <t xml:space="preserve">Only UW 15 Out of service </t>
  </si>
  <si>
    <t>Well 3 Replacement</t>
  </si>
  <si>
    <t>East Side Water Supply, Excess Capacity (Deficiency in Red) in MGD on Maximum Day</t>
  </si>
  <si>
    <t>Max 10-Day Water Demand Projections for the East Side</t>
  </si>
  <si>
    <t>Percentage of Maximum Day</t>
  </si>
  <si>
    <t>East Side Water Supply, Excess Capacity (Deficiency in Red) in MGD on Maximum 10-Day Period</t>
  </si>
  <si>
    <t>Well Pumpage Limitation</t>
  </si>
  <si>
    <t>Well 29 is not limited to lower values</t>
  </si>
  <si>
    <t>Well 29 Expansion</t>
  </si>
  <si>
    <t>Well 29 Expanded to 75% of Well Capacity</t>
  </si>
  <si>
    <t>Seasonal Well not Available</t>
  </si>
  <si>
    <t>East Side Water Supply, Excess Capacity (Deficiency in Red) in MGD on Average Day</t>
  </si>
  <si>
    <t>Projected Median Average Day Total (MGD)</t>
  </si>
  <si>
    <t>Projected High Average Day Total (MGD)</t>
  </si>
  <si>
    <t>MD:AD Ratio</t>
  </si>
  <si>
    <t>Unaccounted for Water (Constant at 10%)</t>
  </si>
  <si>
    <t>Unaccounted for Water (Range from 10% to 7% @ 2020)</t>
  </si>
  <si>
    <t>Projected Max Day Demands -Median (Includes a 5% adjustment)</t>
  </si>
  <si>
    <t>Projected Max Day Demands -High (No adjustment included)</t>
  </si>
  <si>
    <t>Full System Average Water Demand Projections Based on Population</t>
  </si>
  <si>
    <t>Projected Max Day Demands -Low (Includes a 10% adjustment based on conservation)</t>
  </si>
  <si>
    <t>Eastside Water Projections -  Average Day Analysis</t>
  </si>
  <si>
    <t>Eastside Water Projections -  Maximum Day Demand Analysis</t>
  </si>
  <si>
    <t>Eastside Water Projections  - Max 10-Day Analysis</t>
  </si>
  <si>
    <t>Eastside Water Projections - Max 10-Day Analysis - Running wells only 85% of the time</t>
  </si>
  <si>
    <t>Low Maximum Day Demand Presented by East Side Zone</t>
  </si>
  <si>
    <t>Median Maximum Day Demand Presented by East Side Zone</t>
  </si>
  <si>
    <t>High Maximum Day Demand Presented by East Side Zone</t>
  </si>
  <si>
    <t>Analysis of Supply Capacity Based on Average Day and Limiting pumping to 12 hours per day</t>
  </si>
  <si>
    <t xml:space="preserve">Analysis of Supply Capacity Based on Maximum Day </t>
  </si>
  <si>
    <t>Analysis of Supply Capacity Based on the Maximum 10-Day Demand Projections</t>
  </si>
  <si>
    <t>Analysis of Supply Capacity Based on the Maximum 10-Day Demand Projections and limitiing well operation to 85%</t>
  </si>
</sst>
</file>

<file path=xl/styles.xml><?xml version="1.0" encoding="utf-8"?>
<styleSheet xmlns="http://schemas.openxmlformats.org/spreadsheetml/2006/main">
  <numFmts count="5">
    <numFmt numFmtId="43" formatCode="_(* #,##0.00_);_(* \(#,##0.00\);_(* &quot;-&quot;??_);_(@_)"/>
    <numFmt numFmtId="164" formatCode="0.0"/>
    <numFmt numFmtId="165" formatCode="_(* #,##0.0_);_(* \(#,##0.0\);_(* &quot;-&quot;??_);_(@_)"/>
    <numFmt numFmtId="166" formatCode="_(* #,##0_);_(* \(#,##0\);_(* &quot;-&quot;??_);_(@_)"/>
    <numFmt numFmtId="167" formatCode="0.0%"/>
  </numFmts>
  <fonts count="14">
    <font>
      <sz val="11"/>
      <color theme="1"/>
      <name val="Calibri"/>
      <family val="2"/>
      <scheme val="minor"/>
    </font>
    <font>
      <b/>
      <i/>
      <sz val="14"/>
      <color theme="1"/>
      <name val="Calibri"/>
      <family val="2"/>
      <scheme val="minor"/>
    </font>
    <font>
      <b/>
      <sz val="14"/>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16"/>
      <color theme="1"/>
      <name val="Calibri"/>
      <family val="2"/>
      <scheme val="minor"/>
    </font>
    <font>
      <b/>
      <i/>
      <sz val="16"/>
      <color theme="1"/>
      <name val="Calibri"/>
      <family val="2"/>
      <scheme val="minor"/>
    </font>
    <font>
      <sz val="16"/>
      <color theme="1"/>
      <name val="Calibri"/>
      <family val="2"/>
      <scheme val="minor"/>
    </font>
    <font>
      <b/>
      <sz val="12"/>
      <color rgb="FFFF0000"/>
      <name val="Calibri"/>
      <family val="2"/>
      <scheme val="minor"/>
    </font>
    <font>
      <sz val="12"/>
      <color rgb="FFFF0000"/>
      <name val="Calibri"/>
      <family val="2"/>
      <scheme val="minor"/>
    </font>
    <font>
      <b/>
      <i/>
      <sz val="18"/>
      <color theme="1"/>
      <name val="Calibri"/>
      <family val="2"/>
      <scheme val="minor"/>
    </font>
    <font>
      <b/>
      <sz val="18"/>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FFFF66"/>
        <bgColor indexed="64"/>
      </patternFill>
    </fill>
    <fill>
      <patternFill patternType="solid">
        <fgColor theme="6" tint="0.59999389629810485"/>
        <bgColor indexed="64"/>
      </patternFill>
    </fill>
    <fill>
      <patternFill patternType="solid">
        <fgColor theme="2" tint="-9.9978637043366805E-2"/>
        <bgColor indexed="64"/>
      </patternFill>
    </fill>
  </fills>
  <borders count="5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double">
        <color auto="1"/>
      </right>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style="double">
        <color auto="1"/>
      </left>
      <right/>
      <top style="double">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right/>
      <top style="double">
        <color auto="1"/>
      </top>
      <bottom style="thin">
        <color auto="1"/>
      </bottom>
      <diagonal/>
    </border>
    <border>
      <left/>
      <right/>
      <top style="thin">
        <color auto="1"/>
      </top>
      <bottom style="thin">
        <color auto="1"/>
      </bottom>
      <diagonal/>
    </border>
    <border>
      <left/>
      <right/>
      <top style="thin">
        <color auto="1"/>
      </top>
      <bottom style="double">
        <color auto="1"/>
      </bottom>
      <diagonal/>
    </border>
    <border>
      <left style="thin">
        <color auto="1"/>
      </left>
      <right/>
      <top style="double">
        <color auto="1"/>
      </top>
      <bottom style="double">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ck">
        <color auto="1"/>
      </left>
      <right/>
      <top style="double">
        <color auto="1"/>
      </top>
      <bottom style="double">
        <color auto="1"/>
      </bottom>
      <diagonal/>
    </border>
    <border>
      <left/>
      <right style="thick">
        <color auto="1"/>
      </right>
      <top style="double">
        <color auto="1"/>
      </top>
      <bottom style="double">
        <color auto="1"/>
      </bottom>
      <diagonal/>
    </border>
    <border>
      <left style="thick">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top/>
      <bottom/>
      <diagonal/>
    </border>
    <border>
      <left/>
      <right style="thick">
        <color auto="1"/>
      </right>
      <top/>
      <bottom/>
      <diagonal/>
    </border>
    <border>
      <left style="thick">
        <color auto="1"/>
      </left>
      <right style="thin">
        <color auto="1"/>
      </right>
      <top style="double">
        <color auto="1"/>
      </top>
      <bottom style="double">
        <color auto="1"/>
      </bottom>
      <diagonal/>
    </border>
    <border>
      <left style="thin">
        <color auto="1"/>
      </left>
      <right style="thick">
        <color auto="1"/>
      </right>
      <top style="double">
        <color auto="1"/>
      </top>
      <bottom style="double">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top/>
      <bottom style="double">
        <color auto="1"/>
      </bottom>
      <diagonal/>
    </border>
    <border>
      <left/>
      <right style="thick">
        <color auto="1"/>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thin">
        <color auto="1"/>
      </bottom>
      <diagonal/>
    </border>
    <border>
      <left/>
      <right/>
      <top/>
      <bottom style="medium">
        <color indexed="64"/>
      </bottom>
      <diagonal/>
    </border>
  </borders>
  <cellStyleXfs count="3">
    <xf numFmtId="0" fontId="0" fillId="0" borderId="0"/>
    <xf numFmtId="43" fontId="3" fillId="0" borderId="0" applyFont="0" applyFill="0" applyBorder="0" applyAlignment="0" applyProtection="0"/>
    <xf numFmtId="9" fontId="3" fillId="0" borderId="0" applyFont="0" applyFill="0" applyBorder="0" applyAlignment="0" applyProtection="0"/>
  </cellStyleXfs>
  <cellXfs count="204">
    <xf numFmtId="0" fontId="0" fillId="0" borderId="0" xfId="0"/>
    <xf numFmtId="0" fontId="0" fillId="0" borderId="0" xfId="0" applyAlignment="1">
      <alignment horizontal="left" wrapText="1"/>
    </xf>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1" xfId="0" applyBorder="1" applyAlignment="1">
      <alignment horizontal="left" wrapText="1"/>
    </xf>
    <xf numFmtId="0" fontId="0" fillId="0" borderId="11" xfId="0" applyBorder="1" applyAlignment="1">
      <alignment horizontal="left" wrapText="1" indent="1"/>
    </xf>
    <xf numFmtId="0" fontId="0" fillId="0" borderId="13" xfId="0" applyBorder="1" applyAlignment="1">
      <alignment horizontal="left" wrapText="1" indent="1"/>
    </xf>
    <xf numFmtId="0" fontId="0" fillId="0" borderId="16" xfId="0" applyBorder="1" applyAlignment="1">
      <alignment horizontal="left" wrapText="1"/>
    </xf>
    <xf numFmtId="0" fontId="0" fillId="0" borderId="17" xfId="0" applyBorder="1"/>
    <xf numFmtId="0" fontId="0" fillId="2" borderId="2" xfId="0" applyFill="1" applyBorder="1" applyAlignment="1">
      <alignment horizontal="left" wrapText="1"/>
    </xf>
    <xf numFmtId="0" fontId="0" fillId="2" borderId="4" xfId="0" applyFill="1" applyBorder="1"/>
    <xf numFmtId="164" fontId="0" fillId="0" borderId="11" xfId="0" applyNumberFormat="1" applyBorder="1"/>
    <xf numFmtId="164" fontId="0" fillId="0" borderId="1" xfId="0" applyNumberFormat="1" applyBorder="1"/>
    <xf numFmtId="164" fontId="0" fillId="0" borderId="12" xfId="0" applyNumberFormat="1" applyBorder="1"/>
    <xf numFmtId="0" fontId="0" fillId="0" borderId="11" xfId="0" applyBorder="1" applyAlignment="1">
      <alignment horizontal="center"/>
    </xf>
    <xf numFmtId="0" fontId="0" fillId="0" borderId="1" xfId="0" applyBorder="1" applyAlignment="1">
      <alignment horizontal="center"/>
    </xf>
    <xf numFmtId="0" fontId="0" fillId="0" borderId="8" xfId="0" applyBorder="1" applyAlignment="1">
      <alignment horizontal="left" wrapText="1" indent="1"/>
    </xf>
    <xf numFmtId="164" fontId="0" fillId="0" borderId="9" xfId="0" applyNumberFormat="1" applyBorder="1"/>
    <xf numFmtId="164" fontId="0" fillId="3" borderId="9" xfId="0" applyNumberFormat="1" applyFill="1" applyBorder="1"/>
    <xf numFmtId="164" fontId="0" fillId="3" borderId="10" xfId="0" applyNumberFormat="1" applyFill="1" applyBorder="1"/>
    <xf numFmtId="164" fontId="0" fillId="3" borderId="1" xfId="0" applyNumberFormat="1" applyFill="1" applyBorder="1"/>
    <xf numFmtId="164" fontId="0" fillId="3" borderId="12" xfId="0" applyNumberFormat="1" applyFill="1" applyBorder="1"/>
    <xf numFmtId="0" fontId="0" fillId="0" borderId="11" xfId="0" applyBorder="1" applyAlignment="1">
      <alignment horizontal="left" indent="1"/>
    </xf>
    <xf numFmtId="0" fontId="0" fillId="2" borderId="18" xfId="0" applyFill="1" applyBorder="1" applyAlignment="1">
      <alignment horizontal="left" wrapText="1"/>
    </xf>
    <xf numFmtId="0" fontId="0" fillId="2" borderId="19" xfId="0" applyFill="1" applyBorder="1" applyAlignment="1">
      <alignment horizontal="center" wrapText="1"/>
    </xf>
    <xf numFmtId="0" fontId="0" fillId="0" borderId="1" xfId="0" applyFill="1" applyBorder="1"/>
    <xf numFmtId="0" fontId="2" fillId="0" borderId="0" xfId="0" applyFont="1"/>
    <xf numFmtId="0" fontId="0" fillId="0" borderId="5" xfId="0" applyBorder="1"/>
    <xf numFmtId="0" fontId="0" fillId="0" borderId="6" xfId="0" applyBorder="1"/>
    <xf numFmtId="0" fontId="0" fillId="0" borderId="7" xfId="0" applyBorder="1"/>
    <xf numFmtId="0" fontId="0" fillId="0" borderId="24" xfId="0" applyBorder="1"/>
    <xf numFmtId="0" fontId="0" fillId="0" borderId="20" xfId="0" applyBorder="1"/>
    <xf numFmtId="0" fontId="0" fillId="0" borderId="25" xfId="0" applyBorder="1"/>
    <xf numFmtId="0" fontId="0" fillId="0" borderId="26" xfId="0" applyBorder="1"/>
    <xf numFmtId="0" fontId="0" fillId="0" borderId="27" xfId="0" applyBorder="1"/>
    <xf numFmtId="0" fontId="4" fillId="0" borderId="0" xfId="0" applyFont="1"/>
    <xf numFmtId="0" fontId="4" fillId="0" borderId="0" xfId="0" applyFont="1" applyAlignment="1">
      <alignment horizontal="center" wrapText="1"/>
    </xf>
    <xf numFmtId="43" fontId="4" fillId="0" borderId="0" xfId="1" applyFont="1"/>
    <xf numFmtId="166" fontId="4" fillId="0" borderId="0" xfId="1" applyNumberFormat="1" applyFont="1"/>
    <xf numFmtId="166" fontId="4" fillId="0" borderId="0" xfId="0" applyNumberFormat="1" applyFont="1"/>
    <xf numFmtId="0" fontId="4" fillId="0" borderId="0" xfId="0" applyFont="1" applyAlignment="1">
      <alignment horizontal="right"/>
    </xf>
    <xf numFmtId="9" fontId="4" fillId="0" borderId="0" xfId="2" applyFont="1"/>
    <xf numFmtId="167" fontId="4" fillId="0" borderId="0" xfId="2" applyNumberFormat="1" applyFont="1"/>
    <xf numFmtId="43" fontId="4" fillId="0" borderId="0" xfId="0" applyNumberFormat="1" applyFont="1"/>
    <xf numFmtId="0" fontId="5" fillId="0" borderId="0" xfId="0" applyFont="1"/>
    <xf numFmtId="0" fontId="5" fillId="0" borderId="0" xfId="0" applyFont="1" applyAlignment="1">
      <alignment horizontal="center" wrapText="1"/>
    </xf>
    <xf numFmtId="0" fontId="6" fillId="0" borderId="0" xfId="0" applyFont="1"/>
    <xf numFmtId="0" fontId="5" fillId="2" borderId="2" xfId="0" applyFont="1" applyFill="1" applyBorder="1" applyAlignment="1">
      <alignment horizontal="left" wrapText="1"/>
    </xf>
    <xf numFmtId="0" fontId="5" fillId="0" borderId="9" xfId="0" applyFont="1" applyBorder="1" applyAlignment="1">
      <alignment horizontal="center"/>
    </xf>
    <xf numFmtId="0" fontId="5" fillId="0" borderId="0" xfId="0" applyFont="1" applyAlignment="1">
      <alignment horizontal="center"/>
    </xf>
    <xf numFmtId="43" fontId="4" fillId="0" borderId="1" xfId="1" applyFont="1" applyBorder="1"/>
    <xf numFmtId="43" fontId="5" fillId="0" borderId="1" xfId="1" applyFont="1" applyBorder="1"/>
    <xf numFmtId="43" fontId="4" fillId="0" borderId="14" xfId="1" applyFont="1" applyBorder="1"/>
    <xf numFmtId="0" fontId="4" fillId="0" borderId="0" xfId="0" applyFont="1" applyAlignment="1">
      <alignment horizontal="left" wrapText="1"/>
    </xf>
    <xf numFmtId="0" fontId="4" fillId="2" borderId="18" xfId="0" applyFont="1" applyFill="1" applyBorder="1" applyAlignment="1">
      <alignment horizontal="left" wrapText="1"/>
    </xf>
    <xf numFmtId="0" fontId="4" fillId="2" borderId="19" xfId="0" applyFont="1" applyFill="1" applyBorder="1" applyAlignment="1">
      <alignment horizontal="center" wrapText="1"/>
    </xf>
    <xf numFmtId="0" fontId="4" fillId="0" borderId="8" xfId="0" applyFont="1" applyBorder="1"/>
    <xf numFmtId="0" fontId="4" fillId="0" borderId="11" xfId="0" applyFont="1" applyBorder="1" applyAlignment="1">
      <alignment horizontal="center"/>
    </xf>
    <xf numFmtId="0" fontId="4" fillId="0" borderId="11" xfId="0" applyFont="1" applyBorder="1"/>
    <xf numFmtId="0" fontId="4" fillId="0" borderId="0" xfId="0" applyFont="1" applyBorder="1"/>
    <xf numFmtId="0" fontId="4" fillId="0" borderId="26" xfId="0" applyFont="1" applyBorder="1"/>
    <xf numFmtId="0" fontId="4" fillId="0" borderId="0" xfId="0" applyFont="1" applyFill="1"/>
    <xf numFmtId="164" fontId="5" fillId="0" borderId="9" xfId="0" applyNumberFormat="1" applyFont="1" applyFill="1" applyBorder="1"/>
    <xf numFmtId="0" fontId="5" fillId="0" borderId="1" xfId="0" applyFont="1" applyFill="1" applyBorder="1"/>
    <xf numFmtId="164" fontId="5" fillId="0" borderId="1" xfId="0" applyNumberFormat="1" applyFont="1" applyFill="1" applyBorder="1"/>
    <xf numFmtId="0" fontId="9" fillId="0" borderId="0" xfId="0" applyFont="1"/>
    <xf numFmtId="0" fontId="4" fillId="0" borderId="8" xfId="0" applyFont="1" applyFill="1" applyBorder="1" applyAlignment="1">
      <alignment horizontal="right" wrapText="1" indent="1"/>
    </xf>
    <xf numFmtId="0" fontId="4" fillId="0" borderId="11" xfId="0" applyFont="1" applyFill="1" applyBorder="1" applyAlignment="1">
      <alignment horizontal="right"/>
    </xf>
    <xf numFmtId="0" fontId="4" fillId="0" borderId="11" xfId="0" applyFont="1" applyFill="1" applyBorder="1" applyAlignment="1">
      <alignment horizontal="right" wrapText="1" indent="1"/>
    </xf>
    <xf numFmtId="0" fontId="4" fillId="0" borderId="11" xfId="0" applyFont="1" applyFill="1" applyBorder="1" applyAlignment="1">
      <alignment horizontal="right" indent="1"/>
    </xf>
    <xf numFmtId="0" fontId="4" fillId="0" borderId="11" xfId="0" applyFont="1" applyBorder="1" applyAlignment="1">
      <alignment horizontal="right"/>
    </xf>
    <xf numFmtId="0" fontId="4" fillId="0" borderId="31" xfId="0" applyFont="1" applyBorder="1" applyAlignment="1">
      <alignment horizontal="right"/>
    </xf>
    <xf numFmtId="0" fontId="5" fillId="0" borderId="18" xfId="0" applyFont="1" applyBorder="1" applyAlignment="1">
      <alignment horizontal="right"/>
    </xf>
    <xf numFmtId="0" fontId="4" fillId="0" borderId="13" xfId="0" applyFont="1" applyFill="1" applyBorder="1" applyAlignment="1">
      <alignment horizontal="right" wrapText="1" indent="1"/>
    </xf>
    <xf numFmtId="164" fontId="5" fillId="0" borderId="14" xfId="0" applyNumberFormat="1" applyFont="1" applyFill="1" applyBorder="1"/>
    <xf numFmtId="165" fontId="4" fillId="0" borderId="9" xfId="1" applyNumberFormat="1" applyFont="1" applyBorder="1"/>
    <xf numFmtId="165" fontId="4" fillId="0" borderId="1" xfId="1" applyNumberFormat="1" applyFont="1" applyBorder="1"/>
    <xf numFmtId="165" fontId="4" fillId="0" borderId="32" xfId="1" applyNumberFormat="1" applyFont="1" applyBorder="1"/>
    <xf numFmtId="165" fontId="5" fillId="0" borderId="19" xfId="1" applyNumberFormat="1" applyFont="1" applyBorder="1"/>
    <xf numFmtId="167" fontId="10" fillId="0" borderId="0" xfId="2" applyNumberFormat="1" applyFont="1"/>
    <xf numFmtId="0" fontId="10" fillId="0" borderId="0" xfId="0" applyFont="1"/>
    <xf numFmtId="0" fontId="5" fillId="2" borderId="3" xfId="0" applyFont="1" applyFill="1" applyBorder="1"/>
    <xf numFmtId="0" fontId="4" fillId="2" borderId="36" xfId="0" applyFont="1" applyFill="1" applyBorder="1" applyAlignment="1">
      <alignment horizontal="center" wrapText="1"/>
    </xf>
    <xf numFmtId="0" fontId="4" fillId="0" borderId="37" xfId="0" applyFont="1" applyBorder="1"/>
    <xf numFmtId="0" fontId="4" fillId="0" borderId="38" xfId="0" applyFont="1" applyBorder="1" applyAlignment="1">
      <alignment horizontal="center"/>
    </xf>
    <xf numFmtId="0" fontId="4" fillId="0" borderId="38" xfId="0" applyFont="1" applyBorder="1"/>
    <xf numFmtId="0" fontId="4" fillId="0" borderId="39" xfId="0" applyFont="1" applyBorder="1"/>
    <xf numFmtId="0" fontId="5" fillId="0" borderId="36" xfId="0" applyFont="1" applyBorder="1"/>
    <xf numFmtId="0" fontId="5" fillId="0" borderId="42" xfId="0" applyFont="1" applyBorder="1" applyAlignment="1">
      <alignment horizontal="center"/>
    </xf>
    <xf numFmtId="0" fontId="5" fillId="0" borderId="43" xfId="0" applyFont="1" applyBorder="1" applyAlignment="1">
      <alignment horizontal="center"/>
    </xf>
    <xf numFmtId="43" fontId="4" fillId="0" borderId="44" xfId="1" applyFont="1" applyBorder="1"/>
    <xf numFmtId="43" fontId="4" fillId="0" borderId="45" xfId="1" applyFont="1" applyBorder="1"/>
    <xf numFmtId="43" fontId="5" fillId="0" borderId="44" xfId="1" applyFont="1" applyBorder="1"/>
    <xf numFmtId="43" fontId="5" fillId="0" borderId="45" xfId="1" applyFont="1" applyBorder="1"/>
    <xf numFmtId="43" fontId="4" fillId="0" borderId="46" xfId="1" applyFont="1" applyBorder="1"/>
    <xf numFmtId="43" fontId="4" fillId="0" borderId="47" xfId="1" applyFont="1" applyBorder="1"/>
    <xf numFmtId="0" fontId="4" fillId="0" borderId="48" xfId="0" applyFont="1" applyBorder="1"/>
    <xf numFmtId="0" fontId="4" fillId="0" borderId="49" xfId="0" applyFont="1" applyBorder="1"/>
    <xf numFmtId="0" fontId="4" fillId="2" borderId="50" xfId="0" applyFont="1" applyFill="1" applyBorder="1" applyAlignment="1">
      <alignment horizontal="center" wrapText="1"/>
    </xf>
    <xf numFmtId="0" fontId="4" fillId="2" borderId="51" xfId="0" applyFont="1" applyFill="1" applyBorder="1" applyAlignment="1">
      <alignment horizontal="center" wrapText="1"/>
    </xf>
    <xf numFmtId="165" fontId="4" fillId="0" borderId="42" xfId="1" applyNumberFormat="1" applyFont="1" applyBorder="1"/>
    <xf numFmtId="165" fontId="4" fillId="0" borderId="43" xfId="1" applyNumberFormat="1" applyFont="1" applyBorder="1"/>
    <xf numFmtId="165" fontId="4" fillId="0" borderId="44" xfId="1" applyNumberFormat="1" applyFont="1" applyBorder="1"/>
    <xf numFmtId="165" fontId="4" fillId="0" borderId="45" xfId="1" applyNumberFormat="1" applyFont="1" applyBorder="1"/>
    <xf numFmtId="165" fontId="4" fillId="0" borderId="52" xfId="1" applyNumberFormat="1" applyFont="1" applyBorder="1"/>
    <xf numFmtId="165" fontId="4" fillId="0" borderId="53" xfId="1" applyNumberFormat="1" applyFont="1" applyBorder="1"/>
    <xf numFmtId="165" fontId="5" fillId="0" borderId="50" xfId="1" applyNumberFormat="1" applyFont="1" applyBorder="1"/>
    <xf numFmtId="165" fontId="5" fillId="0" borderId="51" xfId="1" applyNumberFormat="1" applyFont="1" applyBorder="1"/>
    <xf numFmtId="0" fontId="4" fillId="0" borderId="54" xfId="0" applyFont="1" applyBorder="1"/>
    <xf numFmtId="0" fontId="4" fillId="0" borderId="55" xfId="0" applyFont="1" applyBorder="1"/>
    <xf numFmtId="0" fontId="4" fillId="0" borderId="37" xfId="0" applyFont="1" applyFill="1" applyBorder="1"/>
    <xf numFmtId="0" fontId="4" fillId="0" borderId="38" xfId="0" applyFont="1" applyFill="1" applyBorder="1"/>
    <xf numFmtId="0" fontId="4" fillId="0" borderId="56" xfId="0" applyFont="1" applyFill="1" applyBorder="1"/>
    <xf numFmtId="164" fontId="5" fillId="0" borderId="42" xfId="0" applyNumberFormat="1" applyFont="1" applyFill="1" applyBorder="1"/>
    <xf numFmtId="164" fontId="5" fillId="0" borderId="43" xfId="0" applyNumberFormat="1" applyFont="1" applyFill="1" applyBorder="1"/>
    <xf numFmtId="0" fontId="5" fillId="0" borderId="44" xfId="0" applyFont="1" applyFill="1" applyBorder="1"/>
    <xf numFmtId="0" fontId="5" fillId="0" borderId="45" xfId="0" applyFont="1" applyFill="1" applyBorder="1"/>
    <xf numFmtId="164" fontId="5" fillId="0" borderId="44" xfId="0" applyNumberFormat="1" applyFont="1" applyFill="1" applyBorder="1"/>
    <xf numFmtId="164" fontId="5" fillId="0" borderId="45" xfId="0" applyNumberFormat="1" applyFont="1" applyFill="1" applyBorder="1"/>
    <xf numFmtId="164" fontId="5" fillId="0" borderId="46" xfId="0" applyNumberFormat="1" applyFont="1" applyFill="1" applyBorder="1"/>
    <xf numFmtId="164" fontId="5" fillId="0" borderId="47" xfId="0" applyNumberFormat="1" applyFont="1" applyFill="1" applyBorder="1"/>
    <xf numFmtId="9" fontId="2" fillId="0" borderId="0" xfId="2" applyFont="1"/>
    <xf numFmtId="0" fontId="4" fillId="0" borderId="13" xfId="0" applyFont="1" applyFill="1" applyBorder="1" applyAlignment="1">
      <alignment horizontal="right" indent="1"/>
    </xf>
    <xf numFmtId="43" fontId="5" fillId="0" borderId="0" xfId="1" applyFont="1"/>
    <xf numFmtId="9" fontId="11" fillId="5" borderId="1" xfId="0" applyNumberFormat="1" applyFont="1" applyFill="1" applyBorder="1" applyAlignment="1">
      <alignment horizontal="center" wrapText="1"/>
    </xf>
    <xf numFmtId="9" fontId="10" fillId="5" borderId="1" xfId="0" applyNumberFormat="1" applyFont="1" applyFill="1" applyBorder="1" applyAlignment="1">
      <alignment horizontal="center" wrapText="1"/>
    </xf>
    <xf numFmtId="43" fontId="11" fillId="5" borderId="1" xfId="1" applyFont="1" applyFill="1" applyBorder="1"/>
    <xf numFmtId="43" fontId="10" fillId="5" borderId="1" xfId="0" applyNumberFormat="1" applyFont="1" applyFill="1" applyBorder="1"/>
    <xf numFmtId="43" fontId="11" fillId="5" borderId="32" xfId="1" applyFont="1" applyFill="1" applyBorder="1"/>
    <xf numFmtId="43" fontId="10" fillId="5" borderId="32" xfId="0" applyNumberFormat="1" applyFont="1" applyFill="1" applyBorder="1"/>
    <xf numFmtId="0" fontId="5" fillId="0" borderId="35" xfId="0" applyFont="1" applyBorder="1" applyAlignment="1">
      <alignment horizontal="right"/>
    </xf>
    <xf numFmtId="43" fontId="5" fillId="0" borderId="35" xfId="0" applyNumberFormat="1" applyFont="1" applyBorder="1"/>
    <xf numFmtId="0" fontId="4" fillId="6" borderId="1" xfId="0" applyFont="1" applyFill="1" applyBorder="1"/>
    <xf numFmtId="0" fontId="4" fillId="6" borderId="1" xfId="0" applyFont="1" applyFill="1" applyBorder="1" applyAlignment="1">
      <alignment horizontal="center" wrapText="1"/>
    </xf>
    <xf numFmtId="0" fontId="5" fillId="6" borderId="1" xfId="0" applyFont="1" applyFill="1" applyBorder="1" applyAlignment="1">
      <alignment horizontal="center" wrapText="1"/>
    </xf>
    <xf numFmtId="166" fontId="10" fillId="6" borderId="1" xfId="1" applyNumberFormat="1" applyFont="1" applyFill="1" applyBorder="1"/>
    <xf numFmtId="43" fontId="4" fillId="6" borderId="1" xfId="1" applyFont="1" applyFill="1" applyBorder="1"/>
    <xf numFmtId="43" fontId="5" fillId="6" borderId="1" xfId="1" applyFont="1" applyFill="1" applyBorder="1"/>
    <xf numFmtId="0" fontId="2" fillId="0" borderId="0" xfId="0" applyFont="1" applyAlignment="1">
      <alignment horizontal="center"/>
    </xf>
    <xf numFmtId="0" fontId="4" fillId="7" borderId="1" xfId="0" applyFont="1" applyFill="1" applyBorder="1" applyAlignment="1">
      <alignment horizontal="center" wrapText="1"/>
    </xf>
    <xf numFmtId="0" fontId="5" fillId="7" borderId="1" xfId="0" applyFont="1" applyFill="1" applyBorder="1" applyAlignment="1">
      <alignment horizontal="center" wrapText="1"/>
    </xf>
    <xf numFmtId="0" fontId="4" fillId="7" borderId="1" xfId="0" applyFont="1" applyFill="1" applyBorder="1"/>
    <xf numFmtId="166" fontId="4" fillId="7" borderId="1" xfId="1" applyNumberFormat="1" applyFont="1" applyFill="1" applyBorder="1"/>
    <xf numFmtId="43" fontId="4" fillId="7" borderId="1" xfId="1" applyFont="1" applyFill="1" applyBorder="1"/>
    <xf numFmtId="43" fontId="5" fillId="7" borderId="1" xfId="1" applyFont="1" applyFill="1" applyBorder="1"/>
    <xf numFmtId="0" fontId="5" fillId="0" borderId="35" xfId="0" applyFont="1" applyBorder="1"/>
    <xf numFmtId="167" fontId="5" fillId="0" borderId="35" xfId="2" applyNumberFormat="1" applyFont="1" applyBorder="1"/>
    <xf numFmtId="43" fontId="5" fillId="0" borderId="35" xfId="1" applyFont="1" applyBorder="1"/>
    <xf numFmtId="0" fontId="10" fillId="0" borderId="0" xfId="0" applyFont="1" applyAlignment="1">
      <alignment horizontal="center"/>
    </xf>
    <xf numFmtId="0" fontId="7" fillId="0" borderId="0" xfId="0" applyFont="1"/>
    <xf numFmtId="0" fontId="2" fillId="0" borderId="58" xfId="0" applyFont="1" applyBorder="1"/>
    <xf numFmtId="0" fontId="6" fillId="0" borderId="58" xfId="0" applyFont="1" applyBorder="1"/>
    <xf numFmtId="0" fontId="13" fillId="0" borderId="0" xfId="0" applyFont="1" applyAlignment="1">
      <alignment horizontal="left"/>
    </xf>
    <xf numFmtId="0" fontId="13" fillId="0" borderId="0" xfId="0" applyFont="1"/>
    <xf numFmtId="0" fontId="7" fillId="6" borderId="38" xfId="0" applyFont="1" applyFill="1" applyBorder="1" applyAlignment="1">
      <alignment horizontal="center"/>
    </xf>
    <xf numFmtId="0" fontId="7" fillId="6" borderId="34" xfId="0" applyFont="1" applyFill="1" applyBorder="1" applyAlignment="1">
      <alignment horizontal="center"/>
    </xf>
    <xf numFmtId="0" fontId="7" fillId="6" borderId="57" xfId="0" applyFont="1" applyFill="1" applyBorder="1" applyAlignment="1">
      <alignment horizontal="center"/>
    </xf>
    <xf numFmtId="0" fontId="7" fillId="0" borderId="0" xfId="0" applyFont="1" applyAlignment="1">
      <alignment horizontal="center"/>
    </xf>
    <xf numFmtId="0" fontId="2" fillId="7" borderId="1" xfId="0" applyFont="1" applyFill="1" applyBorder="1" applyAlignment="1">
      <alignment horizontal="center"/>
    </xf>
    <xf numFmtId="0" fontId="5" fillId="0" borderId="30" xfId="0" applyFont="1" applyBorder="1" applyAlignment="1">
      <alignment horizontal="center" wrapText="1"/>
    </xf>
    <xf numFmtId="0" fontId="5" fillId="0" borderId="33" xfId="0" applyFont="1" applyBorder="1" applyAlignment="1">
      <alignment horizontal="center" wrapText="1"/>
    </xf>
    <xf numFmtId="0" fontId="4" fillId="0" borderId="28" xfId="0" applyFont="1" applyBorder="1" applyAlignment="1">
      <alignment horizontal="right" wrapText="1" indent="1"/>
    </xf>
    <xf numFmtId="0" fontId="4" fillId="0" borderId="34" xfId="0" applyFont="1" applyBorder="1" applyAlignment="1">
      <alignment horizontal="right" wrapText="1" indent="1"/>
    </xf>
    <xf numFmtId="0" fontId="12" fillId="0" borderId="0" xfId="0" applyFont="1" applyAlignment="1">
      <alignment horizontal="center"/>
    </xf>
    <xf numFmtId="0" fontId="5" fillId="2" borderId="40" xfId="0" applyFont="1" applyFill="1" applyBorder="1" applyAlignment="1">
      <alignment horizontal="center"/>
    </xf>
    <xf numFmtId="0" fontId="5" fillId="2" borderId="3" xfId="0" applyFont="1" applyFill="1" applyBorder="1" applyAlignment="1">
      <alignment horizontal="center"/>
    </xf>
    <xf numFmtId="0" fontId="5" fillId="2" borderId="41" xfId="0" applyFont="1" applyFill="1" applyBorder="1" applyAlignment="1">
      <alignment horizontal="center"/>
    </xf>
    <xf numFmtId="0" fontId="5" fillId="0" borderId="28" xfId="0" applyFont="1" applyBorder="1" applyAlignment="1">
      <alignment horizontal="right" wrapText="1"/>
    </xf>
    <xf numFmtId="0" fontId="5" fillId="0" borderId="34" xfId="0" applyFont="1" applyBorder="1" applyAlignment="1">
      <alignment horizontal="right" wrapText="1"/>
    </xf>
    <xf numFmtId="0" fontId="4" fillId="0" borderId="28" xfId="0" applyFont="1" applyBorder="1" applyAlignment="1">
      <alignment horizontal="center" wrapText="1"/>
    </xf>
    <xf numFmtId="0" fontId="4" fillId="0" borderId="34" xfId="0" applyFont="1" applyBorder="1" applyAlignment="1">
      <alignment horizontal="center" wrapText="1"/>
    </xf>
    <xf numFmtId="0" fontId="10" fillId="0" borderId="28" xfId="0" applyFont="1" applyBorder="1" applyAlignment="1">
      <alignment horizontal="right" wrapText="1"/>
    </xf>
    <xf numFmtId="0" fontId="10" fillId="0" borderId="34" xfId="0" applyFont="1" applyBorder="1" applyAlignment="1">
      <alignment horizontal="right" wrapText="1"/>
    </xf>
    <xf numFmtId="0" fontId="5" fillId="0" borderId="28" xfId="0" applyFont="1" applyBorder="1" applyAlignment="1">
      <alignment horizontal="right" wrapText="1" indent="1"/>
    </xf>
    <xf numFmtId="0" fontId="5" fillId="0" borderId="34" xfId="0" applyFont="1" applyBorder="1" applyAlignment="1">
      <alignment horizontal="right" wrapText="1" indent="1"/>
    </xf>
    <xf numFmtId="0" fontId="4" fillId="0" borderId="29" xfId="0" applyFont="1" applyBorder="1" applyAlignment="1">
      <alignment horizontal="center" wrapText="1"/>
    </xf>
    <xf numFmtId="0" fontId="4" fillId="0" borderId="35" xfId="0" applyFont="1" applyBorder="1" applyAlignment="1">
      <alignment horizont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Alignment="1">
      <alignment horizontal="center"/>
    </xf>
    <xf numFmtId="0" fontId="4" fillId="0" borderId="28" xfId="0" applyFont="1" applyBorder="1" applyAlignment="1">
      <alignment horizontal="right" wrapText="1"/>
    </xf>
    <xf numFmtId="0" fontId="4" fillId="0" borderId="34" xfId="0" applyFont="1" applyBorder="1" applyAlignment="1">
      <alignment horizontal="right" wrapText="1"/>
    </xf>
    <xf numFmtId="0" fontId="1" fillId="0" borderId="0" xfId="0" applyFont="1" applyAlignment="1">
      <alignment horizontal="center"/>
    </xf>
    <xf numFmtId="0" fontId="2" fillId="4" borderId="21" xfId="0" applyFont="1" applyFill="1" applyBorder="1" applyAlignment="1">
      <alignment horizontal="center" vertical="center" textRotation="90"/>
    </xf>
    <xf numFmtId="0" fontId="2" fillId="4" borderId="22" xfId="0" applyFont="1" applyFill="1" applyBorder="1" applyAlignment="1">
      <alignment horizontal="center" vertical="center" textRotation="90"/>
    </xf>
    <xf numFmtId="0" fontId="2" fillId="4" borderId="23" xfId="0" applyFont="1" applyFill="1" applyBorder="1" applyAlignment="1">
      <alignment horizontal="center" vertical="center" textRotation="90"/>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cellXfs>
  <cellStyles count="3">
    <cellStyle name="Comma" xfId="1" builtinId="3"/>
    <cellStyle name="Normal" xfId="0" builtinId="0"/>
    <cellStyle name="Percent" xfId="2" builtinId="5"/>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19049</xdr:rowOff>
    </xdr:from>
    <xdr:to>
      <xdr:col>7</xdr:col>
      <xdr:colOff>47625</xdr:colOff>
      <xdr:row>9</xdr:row>
      <xdr:rowOff>276224</xdr:rowOff>
    </xdr:to>
    <xdr:sp macro="" textlink="">
      <xdr:nvSpPr>
        <xdr:cNvPr id="2" name="TextBox 1"/>
        <xdr:cNvSpPr txBox="1"/>
      </xdr:nvSpPr>
      <xdr:spPr>
        <a:xfrm>
          <a:off x="19050" y="19049"/>
          <a:ext cx="7410450" cy="18573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US" sz="1400"/>
            <a:t>	This spreadsheet looks at</a:t>
          </a:r>
          <a:r>
            <a:rPr lang="en-US" sz="1400" baseline="0"/>
            <a:t> the water use projections per person. Various rates are considered based on conservation goals. The </a:t>
          </a:r>
          <a:r>
            <a:rPr lang="en-US" sz="1400" u="sng" baseline="0"/>
            <a:t>low projections </a:t>
          </a:r>
          <a:r>
            <a:rPr lang="en-US" sz="1400" baseline="0"/>
            <a:t>assume that conservation will meet the stated goal of 58 gallons per person by 2020.  The </a:t>
          </a:r>
          <a:r>
            <a:rPr lang="en-US" sz="1400" u="sng" baseline="0"/>
            <a:t>median projection</a:t>
          </a:r>
          <a:r>
            <a:rPr lang="en-US" sz="1400" baseline="0"/>
            <a:t> assumes that conservation efforts will reduce average use to 64 gallons per person by 2020. The </a:t>
          </a:r>
          <a:r>
            <a:rPr lang="en-US" sz="1400" u="sng" baseline="0"/>
            <a:t>high projections</a:t>
          </a:r>
          <a:r>
            <a:rPr lang="en-US" sz="1400" baseline="0"/>
            <a:t> are based on an assumption that water use remains at 70 gallons per person per day. This spreadsheet can be used to revise population projections and evaluate how that impacts overall projected demand and supply capacity. Conservation goals can also be revised and evaluated. The calculated demands are linked to the other sheets to allow analysis of revisions to projections. Non-residential demands are taken directly from the Black and Veatch memo. Unaccounted for water will trend down from 10% to 7% for the low and median projections and remain constant for the high projections. </a:t>
          </a:r>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xdr:row>
      <xdr:rowOff>114300</xdr:rowOff>
    </xdr:from>
    <xdr:to>
      <xdr:col>8</xdr:col>
      <xdr:colOff>304800</xdr:colOff>
      <xdr:row>9</xdr:row>
      <xdr:rowOff>142875</xdr:rowOff>
    </xdr:to>
    <xdr:sp macro="" textlink="">
      <xdr:nvSpPr>
        <xdr:cNvPr id="2" name="TextBox 1"/>
        <xdr:cNvSpPr txBox="1"/>
      </xdr:nvSpPr>
      <xdr:spPr>
        <a:xfrm>
          <a:off x="66675" y="114300"/>
          <a:ext cx="8305800" cy="16287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US" sz="1400"/>
            <a:t>	This spreadsheet looks at the overall low demand</a:t>
          </a:r>
          <a:r>
            <a:rPr lang="en-US" sz="1400" baseline="0"/>
            <a:t> projections</a:t>
          </a:r>
          <a:r>
            <a:rPr lang="en-US" sz="1400"/>
            <a:t> for the east side assuming that conservation meets current stated</a:t>
          </a:r>
          <a:r>
            <a:rPr lang="en-US" sz="1400" baseline="0"/>
            <a:t> goals. The spreadsheets calculates low maximum day based on peaking factors calculated from 2008 demand levels as stated in Table 13 in the Black and Veatch memo. Average day demand projections are taken from the full system population spreadsheet and then calculated for the east side pressure zones.  To account for the anticipated increase in peaking factors, the 2015 projections have been increased 5% assuming that we are half way to the conservation goal and 2020 is increased 10% assuming conservation goals have been met. </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238125</xdr:colOff>
      <xdr:row>9</xdr:row>
      <xdr:rowOff>161925</xdr:rowOff>
    </xdr:to>
    <xdr:sp macro="" textlink="">
      <xdr:nvSpPr>
        <xdr:cNvPr id="2" name="TextBox 1"/>
        <xdr:cNvSpPr txBox="1"/>
      </xdr:nvSpPr>
      <xdr:spPr>
        <a:xfrm>
          <a:off x="0" y="295275"/>
          <a:ext cx="8305800" cy="17621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US" sz="1400"/>
            <a:t>	This spreadsheet looks at the overall median demand</a:t>
          </a:r>
          <a:r>
            <a:rPr lang="en-US" sz="1400" baseline="0"/>
            <a:t> projections</a:t>
          </a:r>
          <a:r>
            <a:rPr lang="en-US" sz="1400"/>
            <a:t> for the east side assuming that conservation gets to 64  gallons</a:t>
          </a:r>
          <a:r>
            <a:rPr lang="en-US" sz="1400" baseline="0"/>
            <a:t> per person per day. The spreadsheets calculates median maximum day based on peaking factors calculated from 2008 demand levels as stated in Table 13 in the Black and Veatch memo. Average day demand projections are taken from the full system population spreadsheet and then calculated for the east side pressure zones.  To account for the anticipated increase in peaking factors, the 2015 projections have been increased 5% assuming that we are half way to the conservation goal and 2020 is increased 10% assuming conservation goals have been met. </a:t>
          </a:r>
          <a:endParaRPr 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xdr:row>
      <xdr:rowOff>0</xdr:rowOff>
    </xdr:from>
    <xdr:to>
      <xdr:col>8</xdr:col>
      <xdr:colOff>266700</xdr:colOff>
      <xdr:row>9</xdr:row>
      <xdr:rowOff>28575</xdr:rowOff>
    </xdr:to>
    <xdr:sp macro="" textlink="">
      <xdr:nvSpPr>
        <xdr:cNvPr id="2" name="TextBox 1"/>
        <xdr:cNvSpPr txBox="1"/>
      </xdr:nvSpPr>
      <xdr:spPr>
        <a:xfrm>
          <a:off x="28575" y="295275"/>
          <a:ext cx="8305800" cy="16287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US" sz="1400"/>
            <a:t>	This spreadsheet looks at the overall high demand</a:t>
          </a:r>
          <a:r>
            <a:rPr lang="en-US" sz="1400" baseline="0"/>
            <a:t> projections</a:t>
          </a:r>
          <a:r>
            <a:rPr lang="en-US" sz="1400"/>
            <a:t> for the east side assuming that there is no change in demands</a:t>
          </a:r>
          <a:r>
            <a:rPr lang="en-US" sz="1400" baseline="0"/>
            <a:t>.  Average use remains constant at 70 gallons per person per day. The spreadsheets calculates high maximum day based on peaking factors calculated from 2008 demand levels as stated in Table 13 in the Black and Veatch memo. Average day demand projections are taken from the full system population spreadsheet and then calculated for the east side pressure zones.  Peaking factors remain constant  due to no change in rates of conservation. </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1</xdr:rowOff>
    </xdr:from>
    <xdr:to>
      <xdr:col>16</xdr:col>
      <xdr:colOff>582083</xdr:colOff>
      <xdr:row>7</xdr:row>
      <xdr:rowOff>31751</xdr:rowOff>
    </xdr:to>
    <xdr:sp macro="" textlink="">
      <xdr:nvSpPr>
        <xdr:cNvPr id="2" name="TextBox 1"/>
        <xdr:cNvSpPr txBox="1"/>
      </xdr:nvSpPr>
      <xdr:spPr>
        <a:xfrm>
          <a:off x="0" y="412751"/>
          <a:ext cx="11768666" cy="12382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US" sz="1400"/>
            <a:t>	This spreadsheet looks at the well pumping capacity for the east side on the average day using the goal</a:t>
          </a:r>
          <a:r>
            <a:rPr lang="en-US" sz="1400" baseline="0"/>
            <a:t> of only operating any well 12 hours per day. Since average day demand levels could occur in the early spring and late fall when seasonal wells #8 and #23 are off line, this analysis assumes that they are not available.  Demand rates are taken from previous spreadsheets. The analysis is noted at the bottom of the sheet and a capacity of zero or less would indicate that there is not sufficient he capacity in the system to meet the supply criteria for average day. Insufficient capacity is highlighted in red.</a:t>
          </a:r>
          <a:endParaRPr lang="en-US"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16</xdr:col>
      <xdr:colOff>582083</xdr:colOff>
      <xdr:row>5</xdr:row>
      <xdr:rowOff>52916</xdr:rowOff>
    </xdr:to>
    <xdr:sp macro="" textlink="">
      <xdr:nvSpPr>
        <xdr:cNvPr id="2" name="TextBox 1"/>
        <xdr:cNvSpPr txBox="1"/>
      </xdr:nvSpPr>
      <xdr:spPr>
        <a:xfrm>
          <a:off x="0" y="296333"/>
          <a:ext cx="11768666" cy="12382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US" sz="1400"/>
            <a:t>	This spreadsheet looks at the well pumping capacity for the east side on the maximum day.</a:t>
          </a:r>
          <a:r>
            <a:rPr lang="en-US" sz="1400" baseline="0"/>
            <a:t>  For reliability and redundancy wells will be considered to be out of service during the maximum day.  Demand rates are taken from previous spreadsheets. The analysis is noted at the bottom of the sheet and a capacity of zero or less would indicate that there is not sufficient he capacity in the system to meet the supply criteria for maximum day. Insufficient capacity is highlighted in red.</a:t>
          </a:r>
          <a:endParaRPr lang="en-US"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16</xdr:col>
      <xdr:colOff>582083</xdr:colOff>
      <xdr:row>5</xdr:row>
      <xdr:rowOff>52916</xdr:rowOff>
    </xdr:to>
    <xdr:sp macro="" textlink="">
      <xdr:nvSpPr>
        <xdr:cNvPr id="2" name="TextBox 1"/>
        <xdr:cNvSpPr txBox="1"/>
      </xdr:nvSpPr>
      <xdr:spPr>
        <a:xfrm>
          <a:off x="0" y="296333"/>
          <a:ext cx="11768666" cy="12382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US" sz="1400"/>
            <a:t>	This spreadsheet looks at the well pumping capacity for the east side during the max</a:t>
          </a:r>
          <a:r>
            <a:rPr lang="en-US" sz="1400" baseline="0"/>
            <a:t> 10-da</a:t>
          </a:r>
          <a:r>
            <a:rPr lang="en-US" sz="1400"/>
            <a:t>y demand</a:t>
          </a:r>
          <a:r>
            <a:rPr lang="en-US" sz="1400" baseline="0"/>
            <a:t> period</a:t>
          </a:r>
          <a:r>
            <a:rPr lang="en-US" sz="1400"/>
            <a:t>. This is considered to be a</a:t>
          </a:r>
          <a:r>
            <a:rPr lang="en-US" sz="1400" baseline="0"/>
            <a:t> challenging supply period due to the extended time period.  For reliability and redundancy wells will be considered to be out of service during the maximum day. Maximum day demand rates are taken from previous spreadsheets and multiplied by 84% to estimate the maximum 10 day demand. The analysis is noted at the bottom of the sheet and a capacity of zero or less would indicate that there is not sufficient he capacity in the system to meet the supply criteria for the max 10-day demand. Insufficient capacity is highlighted in red.</a:t>
          </a:r>
          <a:endParaRPr lang="en-US"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16</xdr:col>
      <xdr:colOff>582083</xdr:colOff>
      <xdr:row>6</xdr:row>
      <xdr:rowOff>10583</xdr:rowOff>
    </xdr:to>
    <xdr:sp macro="" textlink="">
      <xdr:nvSpPr>
        <xdr:cNvPr id="2" name="TextBox 1"/>
        <xdr:cNvSpPr txBox="1"/>
      </xdr:nvSpPr>
      <xdr:spPr>
        <a:xfrm>
          <a:off x="0" y="296333"/>
          <a:ext cx="11768666" cy="14922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t"/>
        <a:lstStyle/>
        <a:p>
          <a:r>
            <a:rPr lang="en-US" sz="1400"/>
            <a:t>	This spreadsheet looks at the well pumping capacity for the east side during the max</a:t>
          </a:r>
          <a:r>
            <a:rPr lang="en-US" sz="1400" baseline="0"/>
            <a:t> 10-da</a:t>
          </a:r>
          <a:r>
            <a:rPr lang="en-US" sz="1400"/>
            <a:t>y demand</a:t>
          </a:r>
          <a:r>
            <a:rPr lang="en-US" sz="1400" baseline="0"/>
            <a:t> period</a:t>
          </a:r>
          <a:r>
            <a:rPr lang="en-US" sz="1400"/>
            <a:t>. This is considered to be a</a:t>
          </a:r>
          <a:r>
            <a:rPr lang="en-US" sz="1400" baseline="0"/>
            <a:t> challenging supply period due to the extended time period.  For reliability and redundancy wells will be considered to be out of service during the maximum day. Maximum day demand rates are taken from previous spreadsheets and multiplied by 84% to estimate the maximum 10 day demand. A stated goal is to limit pumping from any well to no more than 85% or 20.4 hours per day. The analysis is noted at the bottom of the sheet and a capacity of zero or less would indicate that there is not sufficient he capacity in the system to meet the supply criteria for the 10 max day with an 85% operating limitation. Insufficient capacity is highlighted in red.</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G35"/>
  <sheetViews>
    <sheetView zoomScaleNormal="100" workbookViewId="0">
      <selection activeCell="J7" sqref="J7"/>
    </sheetView>
  </sheetViews>
  <sheetFormatPr defaultRowHeight="15.75"/>
  <cols>
    <col min="1" max="1" width="9.140625" style="43"/>
    <col min="2" max="2" width="14.28515625" style="43" customWidth="1"/>
    <col min="3" max="3" width="14.140625" style="43" customWidth="1"/>
    <col min="4" max="4" width="23.85546875" style="43" customWidth="1"/>
    <col min="5" max="5" width="16.140625" style="43" customWidth="1"/>
    <col min="6" max="6" width="16.7109375" style="43" customWidth="1"/>
    <col min="7" max="7" width="16.42578125" style="52" customWidth="1"/>
    <col min="8" max="16384" width="9.140625" style="43"/>
  </cols>
  <sheetData>
    <row r="1" spans="1:7" ht="21">
      <c r="A1" s="157" t="s">
        <v>87</v>
      </c>
    </row>
    <row r="8" spans="1:7" ht="27.75" customHeight="1"/>
    <row r="9" spans="1:7" ht="43.5" customHeight="1"/>
    <row r="10" spans="1:7" ht="24.75" customHeight="1"/>
    <row r="11" spans="1:7" ht="21">
      <c r="A11" s="162" t="s">
        <v>61</v>
      </c>
      <c r="B11" s="163"/>
      <c r="C11" s="163"/>
      <c r="D11" s="163"/>
      <c r="E11" s="163"/>
      <c r="F11" s="163"/>
      <c r="G11" s="164"/>
    </row>
    <row r="12" spans="1:7" s="44" customFormat="1" ht="63">
      <c r="A12" s="141" t="s">
        <v>3</v>
      </c>
      <c r="B12" s="141" t="s">
        <v>34</v>
      </c>
      <c r="C12" s="141" t="s">
        <v>35</v>
      </c>
      <c r="D12" s="141" t="s">
        <v>36</v>
      </c>
      <c r="E12" s="141" t="s">
        <v>38</v>
      </c>
      <c r="F12" s="141" t="s">
        <v>84</v>
      </c>
      <c r="G12" s="142" t="s">
        <v>37</v>
      </c>
    </row>
    <row r="13" spans="1:7">
      <c r="A13" s="140">
        <v>2010</v>
      </c>
      <c r="B13" s="143">
        <v>246272</v>
      </c>
      <c r="C13" s="144">
        <v>66</v>
      </c>
      <c r="D13" s="144">
        <f>C13*B13/10^6</f>
        <v>16.253952000000002</v>
      </c>
      <c r="E13" s="144">
        <v>9.5</v>
      </c>
      <c r="F13" s="144">
        <f>SUM(D13:E13)*0.1</f>
        <v>2.5753952000000004</v>
      </c>
      <c r="G13" s="145">
        <f>SUM(D13:F13)</f>
        <v>28.329347200000001</v>
      </c>
    </row>
    <row r="14" spans="1:7">
      <c r="A14" s="140">
        <v>2015</v>
      </c>
      <c r="B14" s="143">
        <v>256584</v>
      </c>
      <c r="C14" s="144">
        <f>(C13+C15)/2</f>
        <v>62</v>
      </c>
      <c r="D14" s="144">
        <f t="shared" ref="D14:D17" si="0">C14*B14/10^6</f>
        <v>15.908208</v>
      </c>
      <c r="E14" s="144">
        <v>10.9</v>
      </c>
      <c r="F14" s="144">
        <f>SUM(D14:E14)*0.085</f>
        <v>2.2786976800000001</v>
      </c>
      <c r="G14" s="145">
        <f t="shared" ref="G14:G17" si="1">SUM(D14:F14)</f>
        <v>29.086905680000001</v>
      </c>
    </row>
    <row r="15" spans="1:7">
      <c r="A15" s="140">
        <v>2020</v>
      </c>
      <c r="B15" s="143">
        <f>(B$17-B$14)/3+B14</f>
        <v>266896</v>
      </c>
      <c r="C15" s="144">
        <v>58</v>
      </c>
      <c r="D15" s="144">
        <f t="shared" si="0"/>
        <v>15.479968</v>
      </c>
      <c r="E15" s="144">
        <f>(E$17-E$14)/3+E14</f>
        <v>11.266666666666667</v>
      </c>
      <c r="F15" s="144">
        <f>SUM(D15:E15)*0.07</f>
        <v>1.8722644266666668</v>
      </c>
      <c r="G15" s="145">
        <f t="shared" si="1"/>
        <v>28.618899093333333</v>
      </c>
    </row>
    <row r="16" spans="1:7">
      <c r="A16" s="140">
        <v>2025</v>
      </c>
      <c r="B16" s="143">
        <f>(B$17-B$14)/3+B15</f>
        <v>277208</v>
      </c>
      <c r="C16" s="144">
        <v>58</v>
      </c>
      <c r="D16" s="144">
        <f t="shared" si="0"/>
        <v>16.078064000000001</v>
      </c>
      <c r="E16" s="144">
        <f>(E$17-E$14)/3+E15</f>
        <v>11.633333333333335</v>
      </c>
      <c r="F16" s="144">
        <f t="shared" ref="F16:F17" si="2">SUM(D16:E16)*0.07</f>
        <v>1.9397978133333338</v>
      </c>
      <c r="G16" s="145">
        <f t="shared" si="1"/>
        <v>29.651195146666673</v>
      </c>
    </row>
    <row r="17" spans="1:7">
      <c r="A17" s="140">
        <v>2030</v>
      </c>
      <c r="B17" s="143">
        <v>287520</v>
      </c>
      <c r="C17" s="144">
        <v>58</v>
      </c>
      <c r="D17" s="144">
        <f t="shared" si="0"/>
        <v>16.676159999999999</v>
      </c>
      <c r="E17" s="144">
        <v>12</v>
      </c>
      <c r="F17" s="144">
        <f t="shared" si="2"/>
        <v>2.0073312000000003</v>
      </c>
      <c r="G17" s="145">
        <f t="shared" si="1"/>
        <v>30.683491199999999</v>
      </c>
    </row>
    <row r="18" spans="1:7">
      <c r="B18" s="46"/>
      <c r="C18" s="45"/>
      <c r="D18" s="45"/>
      <c r="E18" s="45"/>
      <c r="F18" s="45"/>
      <c r="G18" s="131"/>
    </row>
    <row r="19" spans="1:7">
      <c r="B19" s="46"/>
      <c r="C19" s="45"/>
      <c r="D19" s="45"/>
      <c r="E19" s="45"/>
      <c r="F19" s="45"/>
      <c r="G19" s="131"/>
    </row>
    <row r="20" spans="1:7" ht="21">
      <c r="A20" s="165" t="s">
        <v>64</v>
      </c>
      <c r="B20" s="165"/>
      <c r="C20" s="165"/>
      <c r="D20" s="165"/>
      <c r="E20" s="165"/>
      <c r="F20" s="165"/>
      <c r="G20" s="165"/>
    </row>
    <row r="21" spans="1:7" ht="63">
      <c r="A21" s="44" t="s">
        <v>3</v>
      </c>
      <c r="B21" s="44" t="s">
        <v>34</v>
      </c>
      <c r="C21" s="44" t="s">
        <v>35</v>
      </c>
      <c r="D21" s="44" t="s">
        <v>36</v>
      </c>
      <c r="E21" s="44" t="s">
        <v>38</v>
      </c>
      <c r="F21" s="44" t="s">
        <v>84</v>
      </c>
      <c r="G21" s="53" t="s">
        <v>80</v>
      </c>
    </row>
    <row r="22" spans="1:7">
      <c r="A22" s="43">
        <v>2010</v>
      </c>
      <c r="B22" s="46">
        <f>B13</f>
        <v>246272</v>
      </c>
      <c r="C22" s="45">
        <v>66</v>
      </c>
      <c r="D22" s="45">
        <f>C22*B22/10^6</f>
        <v>16.253952000000002</v>
      </c>
      <c r="E22" s="45">
        <v>9.5</v>
      </c>
      <c r="F22" s="45">
        <f>SUM(D22:E22)*0.1</f>
        <v>2.5753952000000004</v>
      </c>
      <c r="G22" s="131">
        <f>SUM(D22:F22)</f>
        <v>28.329347200000001</v>
      </c>
    </row>
    <row r="23" spans="1:7">
      <c r="A23" s="43">
        <v>2015</v>
      </c>
      <c r="B23" s="46">
        <f t="shared" ref="B23:B26" si="3">B14</f>
        <v>256584</v>
      </c>
      <c r="C23" s="45">
        <f>(C22+C24)/2</f>
        <v>65</v>
      </c>
      <c r="D23" s="45">
        <f t="shared" ref="D23:D26" si="4">C23*B23/10^6</f>
        <v>16.677959999999999</v>
      </c>
      <c r="E23" s="45">
        <v>11.5</v>
      </c>
      <c r="F23" s="45">
        <f>SUM(D23:E23)*0.085</f>
        <v>2.3951266000000002</v>
      </c>
      <c r="G23" s="131">
        <f t="shared" ref="G23:G26" si="5">SUM(D23:F23)</f>
        <v>30.5730866</v>
      </c>
    </row>
    <row r="24" spans="1:7">
      <c r="A24" s="43">
        <v>2020</v>
      </c>
      <c r="B24" s="46">
        <f t="shared" si="3"/>
        <v>266896</v>
      </c>
      <c r="C24" s="45">
        <v>64</v>
      </c>
      <c r="D24" s="45">
        <f t="shared" si="4"/>
        <v>17.081344000000001</v>
      </c>
      <c r="E24" s="45">
        <f>(E$17-E$14)/3+E23</f>
        <v>11.866666666666667</v>
      </c>
      <c r="F24" s="45">
        <f>SUM(D24:E24)*0.07</f>
        <v>2.0263607466666671</v>
      </c>
      <c r="G24" s="131">
        <f t="shared" si="5"/>
        <v>30.974371413333337</v>
      </c>
    </row>
    <row r="25" spans="1:7">
      <c r="A25" s="43">
        <v>2025</v>
      </c>
      <c r="B25" s="46">
        <f t="shared" si="3"/>
        <v>277208</v>
      </c>
      <c r="C25" s="45">
        <v>64</v>
      </c>
      <c r="D25" s="45">
        <f t="shared" si="4"/>
        <v>17.741312000000001</v>
      </c>
      <c r="E25" s="45">
        <f>(E$17-E$14)/3+E24</f>
        <v>12.233333333333334</v>
      </c>
      <c r="F25" s="45">
        <f t="shared" ref="F25:F26" si="6">SUM(D25:E25)*0.07</f>
        <v>2.0982251733333337</v>
      </c>
      <c r="G25" s="131">
        <f t="shared" si="5"/>
        <v>32.072870506666668</v>
      </c>
    </row>
    <row r="26" spans="1:7">
      <c r="A26" s="43">
        <v>2030</v>
      </c>
      <c r="B26" s="46">
        <f t="shared" si="3"/>
        <v>287520</v>
      </c>
      <c r="C26" s="45">
        <v>64</v>
      </c>
      <c r="D26" s="45">
        <f t="shared" si="4"/>
        <v>18.40128</v>
      </c>
      <c r="E26" s="45">
        <v>12.6</v>
      </c>
      <c r="F26" s="45">
        <f t="shared" si="6"/>
        <v>2.1700896000000003</v>
      </c>
      <c r="G26" s="131">
        <f t="shared" si="5"/>
        <v>33.171369599999998</v>
      </c>
    </row>
    <row r="27" spans="1:7">
      <c r="B27" s="47"/>
    </row>
    <row r="29" spans="1:7" ht="18.75">
      <c r="A29" s="166" t="s">
        <v>62</v>
      </c>
      <c r="B29" s="166"/>
      <c r="C29" s="166"/>
      <c r="D29" s="166"/>
      <c r="E29" s="166"/>
      <c r="F29" s="166"/>
      <c r="G29" s="166"/>
    </row>
    <row r="30" spans="1:7" ht="63">
      <c r="A30" s="147" t="s">
        <v>3</v>
      </c>
      <c r="B30" s="147" t="s">
        <v>34</v>
      </c>
      <c r="C30" s="147" t="s">
        <v>35</v>
      </c>
      <c r="D30" s="147" t="s">
        <v>36</v>
      </c>
      <c r="E30" s="147" t="s">
        <v>38</v>
      </c>
      <c r="F30" s="147" t="s">
        <v>83</v>
      </c>
      <c r="G30" s="148" t="s">
        <v>81</v>
      </c>
    </row>
    <row r="31" spans="1:7">
      <c r="A31" s="149">
        <v>2010</v>
      </c>
      <c r="B31" s="150">
        <f>B13</f>
        <v>246272</v>
      </c>
      <c r="C31" s="151">
        <v>66</v>
      </c>
      <c r="D31" s="151">
        <f>C31*B31/10^6</f>
        <v>16.253952000000002</v>
      </c>
      <c r="E31" s="151">
        <v>9.5</v>
      </c>
      <c r="F31" s="151">
        <f>SUM(D31:E31)*0.1</f>
        <v>2.5753952000000004</v>
      </c>
      <c r="G31" s="152">
        <f>SUM(D31:F31)</f>
        <v>28.329347200000001</v>
      </c>
    </row>
    <row r="32" spans="1:7">
      <c r="A32" s="149">
        <v>2015</v>
      </c>
      <c r="B32" s="150">
        <f t="shared" ref="B32:B35" si="7">B14</f>
        <v>256584</v>
      </c>
      <c r="C32" s="151">
        <v>70</v>
      </c>
      <c r="D32" s="151">
        <f t="shared" ref="D32:D35" si="8">C32*B32/10^6</f>
        <v>17.96088</v>
      </c>
      <c r="E32" s="151">
        <v>12.1</v>
      </c>
      <c r="F32" s="151">
        <f t="shared" ref="F32:F35" si="9">SUM(D32:E32)*0.1</f>
        <v>3.0060880000000001</v>
      </c>
      <c r="G32" s="152">
        <f t="shared" ref="G32:G35" si="10">SUM(D32:F32)</f>
        <v>33.066967999999996</v>
      </c>
    </row>
    <row r="33" spans="1:7">
      <c r="A33" s="149">
        <v>2020</v>
      </c>
      <c r="B33" s="150">
        <f t="shared" si="7"/>
        <v>266896</v>
      </c>
      <c r="C33" s="151">
        <v>70</v>
      </c>
      <c r="D33" s="151">
        <f t="shared" si="8"/>
        <v>18.68272</v>
      </c>
      <c r="E33" s="151">
        <f>(E$17-E$14)/3+E32</f>
        <v>12.466666666666667</v>
      </c>
      <c r="F33" s="151">
        <f t="shared" si="9"/>
        <v>3.1149386666666667</v>
      </c>
      <c r="G33" s="152">
        <f t="shared" si="10"/>
        <v>34.264325333333332</v>
      </c>
    </row>
    <row r="34" spans="1:7">
      <c r="A34" s="149">
        <v>2025</v>
      </c>
      <c r="B34" s="150">
        <f t="shared" si="7"/>
        <v>277208</v>
      </c>
      <c r="C34" s="151">
        <v>70</v>
      </c>
      <c r="D34" s="151">
        <f t="shared" si="8"/>
        <v>19.40456</v>
      </c>
      <c r="E34" s="151">
        <f>(E$17-E$14)/3+E33</f>
        <v>12.833333333333334</v>
      </c>
      <c r="F34" s="151">
        <f t="shared" si="9"/>
        <v>3.2237893333333334</v>
      </c>
      <c r="G34" s="152">
        <f t="shared" si="10"/>
        <v>35.461682666666668</v>
      </c>
    </row>
    <row r="35" spans="1:7">
      <c r="A35" s="149">
        <v>2030</v>
      </c>
      <c r="B35" s="150">
        <f t="shared" si="7"/>
        <v>287520</v>
      </c>
      <c r="C35" s="151">
        <v>70</v>
      </c>
      <c r="D35" s="151">
        <f t="shared" si="8"/>
        <v>20.1264</v>
      </c>
      <c r="E35" s="151">
        <v>13.3</v>
      </c>
      <c r="F35" s="151">
        <f t="shared" si="9"/>
        <v>3.3426400000000003</v>
      </c>
      <c r="G35" s="152">
        <f t="shared" si="10"/>
        <v>36.769040000000004</v>
      </c>
    </row>
  </sheetData>
  <mergeCells count="3">
    <mergeCell ref="A11:G11"/>
    <mergeCell ref="A20:G20"/>
    <mergeCell ref="A29:G2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2:L60"/>
  <sheetViews>
    <sheetView topLeftCell="A34" zoomScaleNormal="100" workbookViewId="0">
      <selection activeCell="A51" sqref="A51:A59"/>
    </sheetView>
  </sheetViews>
  <sheetFormatPr defaultRowHeight="15"/>
  <cols>
    <col min="1" max="1" width="5.7109375" customWidth="1"/>
    <col min="2" max="2" width="25.7109375" customWidth="1"/>
    <col min="4" max="4" width="8.85546875" customWidth="1"/>
    <col min="6" max="6" width="10.28515625" bestFit="1" customWidth="1"/>
  </cols>
  <sheetData>
    <row r="2" spans="1:12" ht="18.75">
      <c r="B2" s="191" t="s">
        <v>21</v>
      </c>
      <c r="C2" s="191"/>
      <c r="D2" s="191"/>
      <c r="E2" s="191"/>
      <c r="F2" s="191"/>
      <c r="G2" s="191"/>
      <c r="H2" s="191"/>
      <c r="I2" s="191"/>
      <c r="J2" s="191"/>
      <c r="K2" s="191"/>
      <c r="L2" s="191"/>
    </row>
    <row r="3" spans="1:12" ht="15.75" thickBot="1"/>
    <row r="4" spans="1:12" ht="16.5" thickTop="1" thickBot="1">
      <c r="A4" s="192" t="s">
        <v>29</v>
      </c>
      <c r="B4" s="17" t="s">
        <v>3</v>
      </c>
      <c r="C4" s="18"/>
      <c r="D4" s="195">
        <v>2010</v>
      </c>
      <c r="E4" s="196"/>
      <c r="F4" s="197"/>
      <c r="G4" s="198">
        <v>2015</v>
      </c>
      <c r="H4" s="199"/>
      <c r="I4" s="200"/>
      <c r="J4" s="198">
        <v>2030</v>
      </c>
      <c r="K4" s="199"/>
      <c r="L4" s="200"/>
    </row>
    <row r="5" spans="1:12" ht="45.75" thickTop="1">
      <c r="A5" s="193"/>
      <c r="B5" s="15" t="s">
        <v>22</v>
      </c>
      <c r="C5" s="16"/>
      <c r="D5" s="3"/>
      <c r="E5" s="4"/>
      <c r="F5" s="4"/>
      <c r="G5" s="4"/>
      <c r="H5" s="4"/>
      <c r="I5" s="4"/>
      <c r="J5" s="4"/>
      <c r="K5" s="4"/>
      <c r="L5" s="5"/>
    </row>
    <row r="6" spans="1:12">
      <c r="A6" s="193"/>
      <c r="B6" s="13" t="s">
        <v>24</v>
      </c>
      <c r="C6" s="8"/>
      <c r="D6" s="6">
        <v>31.8</v>
      </c>
      <c r="E6" s="7"/>
      <c r="F6" s="7"/>
      <c r="G6" s="7">
        <v>31.9</v>
      </c>
      <c r="H6" s="7"/>
      <c r="I6" s="7"/>
      <c r="J6" s="7">
        <v>32</v>
      </c>
      <c r="K6" s="7"/>
      <c r="L6" s="8"/>
    </row>
    <row r="7" spans="1:12">
      <c r="A7" s="193"/>
      <c r="B7" s="13" t="s">
        <v>25</v>
      </c>
      <c r="C7" s="8"/>
      <c r="D7" s="6"/>
      <c r="E7" s="7">
        <v>33.6</v>
      </c>
      <c r="F7" s="7"/>
      <c r="G7" s="7"/>
      <c r="H7" s="7">
        <v>34.1</v>
      </c>
      <c r="I7" s="7"/>
      <c r="J7" s="7"/>
      <c r="K7" s="7">
        <v>36.1</v>
      </c>
      <c r="L7" s="8"/>
    </row>
    <row r="8" spans="1:12">
      <c r="A8" s="193"/>
      <c r="B8" s="13" t="s">
        <v>26</v>
      </c>
      <c r="C8" s="8"/>
      <c r="D8" s="6"/>
      <c r="E8" s="7"/>
      <c r="F8" s="7">
        <v>35.299999999999997</v>
      </c>
      <c r="G8" s="7"/>
      <c r="H8" s="7"/>
      <c r="I8" s="7">
        <v>36.200000000000003</v>
      </c>
      <c r="J8" s="7"/>
      <c r="K8" s="7" t="s">
        <v>7</v>
      </c>
      <c r="L8" s="8">
        <v>40.299999999999997</v>
      </c>
    </row>
    <row r="9" spans="1:12">
      <c r="A9" s="193"/>
      <c r="B9" s="13"/>
      <c r="C9" s="8"/>
      <c r="D9" s="6"/>
      <c r="E9" s="7"/>
      <c r="F9" s="7"/>
      <c r="G9" s="7"/>
      <c r="H9" s="7"/>
      <c r="I9" s="7"/>
      <c r="J9" s="7"/>
      <c r="K9" s="7"/>
      <c r="L9" s="8"/>
    </row>
    <row r="10" spans="1:12" ht="45">
      <c r="A10" s="193"/>
      <c r="B10" s="12" t="s">
        <v>14</v>
      </c>
      <c r="C10" s="8"/>
      <c r="D10" s="6"/>
      <c r="E10" s="7"/>
      <c r="F10" s="7"/>
      <c r="G10" s="7"/>
      <c r="H10" s="7"/>
      <c r="I10" s="7"/>
      <c r="J10" s="7"/>
      <c r="K10" s="7"/>
      <c r="L10" s="8"/>
    </row>
    <row r="11" spans="1:12">
      <c r="A11" s="193"/>
      <c r="B11" s="13" t="s">
        <v>4</v>
      </c>
      <c r="C11" s="8"/>
      <c r="D11" s="19">
        <f>+D6*0.351</f>
        <v>11.161799999999999</v>
      </c>
      <c r="E11" s="7"/>
      <c r="F11" s="7"/>
      <c r="G11" s="20">
        <f>+G6*0.351</f>
        <v>11.196899999999999</v>
      </c>
      <c r="H11" s="7"/>
      <c r="I11" s="7"/>
      <c r="J11" s="20">
        <f>+J6*0.351</f>
        <v>11.231999999999999</v>
      </c>
      <c r="K11" s="7"/>
      <c r="L11" s="8"/>
    </row>
    <row r="12" spans="1:12">
      <c r="A12" s="193"/>
      <c r="B12" s="13" t="s">
        <v>5</v>
      </c>
      <c r="C12" s="8"/>
      <c r="D12" s="6"/>
      <c r="E12" s="20">
        <f>+E7*0.351</f>
        <v>11.7936</v>
      </c>
      <c r="F12" s="7"/>
      <c r="G12" s="7"/>
      <c r="H12" s="20">
        <f>+H7*0.351</f>
        <v>11.969099999999999</v>
      </c>
      <c r="I12" s="7"/>
      <c r="J12" s="7"/>
      <c r="K12" s="20">
        <f>+K7*0.351</f>
        <v>12.671099999999999</v>
      </c>
      <c r="L12" s="8"/>
    </row>
    <row r="13" spans="1:12">
      <c r="A13" s="193"/>
      <c r="B13" s="13" t="s">
        <v>6</v>
      </c>
      <c r="C13" s="8"/>
      <c r="D13" s="6"/>
      <c r="E13" s="7"/>
      <c r="F13" s="20">
        <f>+F8*0.351</f>
        <v>12.390299999999998</v>
      </c>
      <c r="G13" s="33"/>
      <c r="H13" s="7"/>
      <c r="I13" s="20">
        <f>+I8*0.351</f>
        <v>12.706200000000001</v>
      </c>
      <c r="J13" s="7"/>
      <c r="K13" s="7"/>
      <c r="L13" s="21">
        <f>+L8*0.351</f>
        <v>14.145299999999999</v>
      </c>
    </row>
    <row r="14" spans="1:12">
      <c r="A14" s="193"/>
      <c r="B14" s="13"/>
      <c r="C14" s="8"/>
      <c r="D14" s="6"/>
      <c r="E14" s="7"/>
      <c r="F14" s="7"/>
      <c r="G14" s="7"/>
      <c r="H14" s="7"/>
      <c r="I14" s="7"/>
      <c r="J14" s="7"/>
      <c r="K14" s="7"/>
      <c r="L14" s="8"/>
    </row>
    <row r="15" spans="1:12" ht="45">
      <c r="A15" s="193"/>
      <c r="B15" s="12" t="s">
        <v>15</v>
      </c>
      <c r="C15" s="8"/>
      <c r="D15" s="6"/>
      <c r="E15" s="7"/>
      <c r="F15" s="7"/>
      <c r="G15" s="7"/>
      <c r="H15" s="7"/>
      <c r="I15" s="7"/>
      <c r="J15" s="7"/>
      <c r="K15" s="7"/>
      <c r="L15" s="8"/>
    </row>
    <row r="16" spans="1:12">
      <c r="A16" s="193"/>
      <c r="B16" s="13" t="s">
        <v>4</v>
      </c>
      <c r="C16" s="8"/>
      <c r="D16" s="19">
        <f>+D11*1.74*1.1+1</f>
        <v>22.363685199999999</v>
      </c>
      <c r="E16" s="7"/>
      <c r="F16" s="7"/>
      <c r="G16" s="20">
        <f>+G11*1.74*1.1+1</f>
        <v>22.430866600000002</v>
      </c>
      <c r="H16" s="7"/>
      <c r="I16" s="7"/>
      <c r="J16" s="20">
        <f>+J11*1.74*1.1+1</f>
        <v>22.498048000000001</v>
      </c>
      <c r="K16" s="7"/>
      <c r="L16" s="8"/>
    </row>
    <row r="17" spans="1:12">
      <c r="A17" s="193"/>
      <c r="B17" s="13" t="s">
        <v>5</v>
      </c>
      <c r="C17" s="8"/>
      <c r="D17" s="6"/>
      <c r="E17" s="20">
        <f>+E12*1.74*1.1+1</f>
        <v>23.5729504</v>
      </c>
      <c r="F17" s="7"/>
      <c r="G17" s="7"/>
      <c r="H17" s="20">
        <f>+H12*1.74*1.1+1</f>
        <v>23.908857400000002</v>
      </c>
      <c r="I17" s="7"/>
      <c r="J17" s="7"/>
      <c r="K17" s="20">
        <f>+K12*1.74*1.1+1</f>
        <v>25.252485400000001</v>
      </c>
      <c r="L17" s="8"/>
    </row>
    <row r="18" spans="1:12">
      <c r="A18" s="193"/>
      <c r="B18" s="13" t="s">
        <v>6</v>
      </c>
      <c r="C18" s="8"/>
      <c r="D18" s="6"/>
      <c r="E18" s="7"/>
      <c r="F18" s="20">
        <f>+F13*1.74*1.1+1</f>
        <v>24.715034199999998</v>
      </c>
      <c r="G18" s="7"/>
      <c r="H18" s="7"/>
      <c r="I18" s="20">
        <f>+I13*1.74*1.1+1</f>
        <v>25.319666800000004</v>
      </c>
      <c r="J18" s="7"/>
      <c r="K18" s="7"/>
      <c r="L18" s="21">
        <f>+L13*1.74*1.1+1</f>
        <v>28.074104200000001</v>
      </c>
    </row>
    <row r="19" spans="1:12">
      <c r="A19" s="193"/>
      <c r="B19" s="13"/>
      <c r="C19" s="8"/>
      <c r="D19" s="6"/>
      <c r="E19" s="7"/>
      <c r="F19" s="7"/>
      <c r="G19" s="7"/>
      <c r="H19" s="7"/>
      <c r="I19" s="7"/>
      <c r="J19" s="7"/>
      <c r="K19" s="7"/>
      <c r="L19" s="8"/>
    </row>
    <row r="20" spans="1:12" ht="15.75" thickBot="1">
      <c r="A20" s="194"/>
      <c r="B20" s="14"/>
      <c r="C20" s="11"/>
      <c r="D20" s="9"/>
      <c r="E20" s="10"/>
      <c r="F20" s="10"/>
      <c r="G20" s="10"/>
      <c r="H20" s="10"/>
      <c r="I20" s="10"/>
      <c r="J20" s="10"/>
      <c r="K20" s="10"/>
      <c r="L20" s="11"/>
    </row>
    <row r="21" spans="1:12" ht="16.5" thickTop="1" thickBot="1">
      <c r="B21" s="1"/>
    </row>
    <row r="22" spans="1:12" ht="30" customHeight="1" thickTop="1" thickBot="1">
      <c r="A22" s="192" t="s">
        <v>31</v>
      </c>
      <c r="B22" s="31" t="s">
        <v>0</v>
      </c>
      <c r="C22" s="32" t="s">
        <v>1</v>
      </c>
      <c r="D22" s="32" t="s">
        <v>2</v>
      </c>
      <c r="E22" s="32" t="s">
        <v>2</v>
      </c>
      <c r="F22" s="32" t="s">
        <v>2</v>
      </c>
      <c r="G22" s="32" t="s">
        <v>2</v>
      </c>
      <c r="H22" s="32" t="s">
        <v>2</v>
      </c>
      <c r="I22" s="32" t="s">
        <v>2</v>
      </c>
      <c r="J22" s="32" t="s">
        <v>2</v>
      </c>
      <c r="K22" s="32" t="s">
        <v>2</v>
      </c>
      <c r="L22" s="32" t="s">
        <v>2</v>
      </c>
    </row>
    <row r="23" spans="1:12" ht="15.75" thickTop="1">
      <c r="A23" s="193"/>
      <c r="B23" s="3"/>
      <c r="C23" s="4"/>
      <c r="D23" s="4"/>
      <c r="E23" s="4"/>
      <c r="F23" s="4"/>
      <c r="G23" s="4"/>
      <c r="H23" s="4"/>
      <c r="I23" s="4"/>
      <c r="J23" s="4"/>
      <c r="K23" s="4"/>
      <c r="L23" s="5"/>
    </row>
    <row r="24" spans="1:12">
      <c r="A24" s="193"/>
      <c r="B24" s="22">
        <v>1</v>
      </c>
      <c r="C24" s="23" t="s">
        <v>9</v>
      </c>
      <c r="D24" s="7"/>
      <c r="E24" s="7"/>
      <c r="F24" s="7"/>
      <c r="G24" s="7"/>
      <c r="H24" s="7"/>
      <c r="I24" s="7"/>
      <c r="J24" s="7"/>
      <c r="K24" s="7"/>
      <c r="L24" s="8"/>
    </row>
    <row r="25" spans="1:12">
      <c r="A25" s="193"/>
      <c r="B25" s="22">
        <v>2</v>
      </c>
      <c r="C25" s="23" t="s">
        <v>9</v>
      </c>
      <c r="D25" s="7"/>
      <c r="E25" s="7"/>
      <c r="F25" s="7"/>
      <c r="G25" s="7"/>
      <c r="H25" s="7"/>
      <c r="I25" s="7"/>
      <c r="J25" s="7"/>
      <c r="K25" s="7"/>
      <c r="L25" s="8"/>
    </row>
    <row r="26" spans="1:12">
      <c r="A26" s="193"/>
      <c r="B26" s="22">
        <v>3</v>
      </c>
      <c r="C26" s="23">
        <v>25</v>
      </c>
      <c r="D26" s="20">
        <v>3</v>
      </c>
      <c r="E26" s="20">
        <v>3</v>
      </c>
      <c r="F26" s="20">
        <v>3</v>
      </c>
      <c r="G26" s="20">
        <v>3</v>
      </c>
      <c r="H26" s="20">
        <v>3</v>
      </c>
      <c r="I26" s="20">
        <v>3</v>
      </c>
      <c r="J26" s="20">
        <v>3</v>
      </c>
      <c r="K26" s="20">
        <v>3</v>
      </c>
      <c r="L26" s="21">
        <v>3</v>
      </c>
    </row>
    <row r="27" spans="1:12">
      <c r="A27" s="193"/>
      <c r="B27" s="22">
        <v>4</v>
      </c>
      <c r="C27" s="23">
        <v>9</v>
      </c>
      <c r="D27" s="20">
        <v>2.5</v>
      </c>
      <c r="E27" s="20">
        <v>2.5</v>
      </c>
      <c r="F27" s="20">
        <v>2.5</v>
      </c>
      <c r="G27" s="20">
        <v>2.5</v>
      </c>
      <c r="H27" s="20">
        <v>2.5</v>
      </c>
      <c r="I27" s="20">
        <v>2.5</v>
      </c>
      <c r="J27" s="20">
        <v>2.5</v>
      </c>
      <c r="K27" s="20">
        <v>2.5</v>
      </c>
      <c r="L27" s="21">
        <v>2.5</v>
      </c>
    </row>
    <row r="28" spans="1:12">
      <c r="A28" s="193"/>
      <c r="B28" s="22">
        <v>5</v>
      </c>
      <c r="C28" s="23" t="s">
        <v>9</v>
      </c>
      <c r="D28" s="20"/>
      <c r="E28" s="20"/>
      <c r="F28" s="20"/>
      <c r="G28" s="20"/>
      <c r="H28" s="20"/>
      <c r="I28" s="20"/>
      <c r="J28" s="20"/>
      <c r="K28" s="20"/>
      <c r="L28" s="21"/>
    </row>
    <row r="29" spans="1:12">
      <c r="A29" s="193"/>
      <c r="B29" s="22" t="s">
        <v>8</v>
      </c>
      <c r="C29" s="23">
        <v>7</v>
      </c>
      <c r="D29" s="20">
        <v>3</v>
      </c>
      <c r="E29" s="20">
        <v>3</v>
      </c>
      <c r="F29" s="20">
        <v>3</v>
      </c>
      <c r="G29" s="20">
        <v>3</v>
      </c>
      <c r="H29" s="20">
        <v>3</v>
      </c>
      <c r="I29" s="20">
        <v>3</v>
      </c>
      <c r="J29" s="20">
        <v>3</v>
      </c>
      <c r="K29" s="20">
        <v>3</v>
      </c>
      <c r="L29" s="21">
        <v>3</v>
      </c>
    </row>
    <row r="30" spans="1:12">
      <c r="A30" s="193"/>
      <c r="B30" s="6"/>
      <c r="C30" s="23">
        <v>8</v>
      </c>
      <c r="D30" s="20">
        <v>2.4</v>
      </c>
      <c r="E30" s="20">
        <v>2.4</v>
      </c>
      <c r="F30" s="20">
        <v>2.4</v>
      </c>
      <c r="G30" s="20">
        <v>2.4</v>
      </c>
      <c r="H30" s="20">
        <v>2.4</v>
      </c>
      <c r="I30" s="20">
        <v>2.4</v>
      </c>
      <c r="J30" s="20">
        <v>2.4</v>
      </c>
      <c r="K30" s="20">
        <v>2.4</v>
      </c>
      <c r="L30" s="21">
        <v>2.4</v>
      </c>
    </row>
    <row r="31" spans="1:12">
      <c r="A31" s="193"/>
      <c r="B31" s="6"/>
      <c r="C31" s="23">
        <v>11</v>
      </c>
      <c r="D31" s="20">
        <v>3</v>
      </c>
      <c r="E31" s="20">
        <v>3</v>
      </c>
      <c r="F31" s="20">
        <v>3</v>
      </c>
      <c r="G31" s="20">
        <v>3</v>
      </c>
      <c r="H31" s="20">
        <v>3</v>
      </c>
      <c r="I31" s="20">
        <v>3</v>
      </c>
      <c r="J31" s="20">
        <v>3</v>
      </c>
      <c r="K31" s="20">
        <v>3</v>
      </c>
      <c r="L31" s="21">
        <v>3</v>
      </c>
    </row>
    <row r="32" spans="1:12">
      <c r="A32" s="193"/>
      <c r="B32" s="6"/>
      <c r="C32" s="23">
        <v>13</v>
      </c>
      <c r="D32" s="20">
        <v>3</v>
      </c>
      <c r="E32" s="20">
        <v>3</v>
      </c>
      <c r="F32" s="20">
        <v>3</v>
      </c>
      <c r="G32" s="20">
        <v>3</v>
      </c>
      <c r="H32" s="20">
        <v>3</v>
      </c>
      <c r="I32" s="20">
        <v>3</v>
      </c>
      <c r="J32" s="20">
        <v>3</v>
      </c>
      <c r="K32" s="20">
        <v>3</v>
      </c>
      <c r="L32" s="21">
        <v>3</v>
      </c>
    </row>
    <row r="33" spans="1:12">
      <c r="A33" s="193"/>
      <c r="B33" s="6"/>
      <c r="C33" s="23">
        <v>15</v>
      </c>
      <c r="D33" s="20">
        <v>3</v>
      </c>
      <c r="E33" s="20">
        <v>3</v>
      </c>
      <c r="F33" s="20">
        <v>3</v>
      </c>
      <c r="G33" s="20">
        <v>3</v>
      </c>
      <c r="H33" s="20">
        <v>3</v>
      </c>
      <c r="I33" s="20">
        <v>3</v>
      </c>
      <c r="J33" s="20">
        <v>3</v>
      </c>
      <c r="K33" s="20">
        <v>3</v>
      </c>
      <c r="L33" s="21">
        <v>3</v>
      </c>
    </row>
    <row r="34" spans="1:12">
      <c r="A34" s="193"/>
      <c r="B34" s="6"/>
      <c r="C34" s="23">
        <v>23</v>
      </c>
      <c r="D34" s="20">
        <v>1.4</v>
      </c>
      <c r="E34" s="20">
        <v>1.4</v>
      </c>
      <c r="F34" s="20">
        <v>1.4</v>
      </c>
      <c r="G34" s="20">
        <v>1.4</v>
      </c>
      <c r="H34" s="20">
        <v>1.4</v>
      </c>
      <c r="I34" s="20">
        <v>1.4</v>
      </c>
      <c r="J34" s="20">
        <v>1.4</v>
      </c>
      <c r="K34" s="20">
        <v>1.4</v>
      </c>
      <c r="L34" s="21">
        <v>1.4</v>
      </c>
    </row>
    <row r="35" spans="1:12">
      <c r="A35" s="193"/>
      <c r="B35" s="6"/>
      <c r="C35" s="23">
        <v>29</v>
      </c>
      <c r="D35" s="20">
        <v>1.5</v>
      </c>
      <c r="E35" s="20">
        <v>1.5</v>
      </c>
      <c r="F35" s="20">
        <v>1.5</v>
      </c>
      <c r="G35" s="20">
        <v>1.5</v>
      </c>
      <c r="H35" s="20">
        <v>1.5</v>
      </c>
      <c r="I35" s="20">
        <v>1.5</v>
      </c>
      <c r="J35" s="20">
        <v>1.5</v>
      </c>
      <c r="K35" s="20">
        <v>1.5</v>
      </c>
      <c r="L35" s="21">
        <v>1.5</v>
      </c>
    </row>
    <row r="36" spans="1:12">
      <c r="A36" s="193"/>
      <c r="B36" s="6"/>
      <c r="C36" s="7"/>
      <c r="D36" s="7"/>
      <c r="E36" s="7"/>
      <c r="F36" s="7"/>
      <c r="G36" s="7"/>
      <c r="H36" s="7"/>
      <c r="I36" s="7"/>
      <c r="J36" s="7"/>
      <c r="K36" s="7"/>
      <c r="L36" s="8"/>
    </row>
    <row r="37" spans="1:12">
      <c r="A37" s="193"/>
      <c r="B37" s="6" t="s">
        <v>10</v>
      </c>
      <c r="C37" s="7"/>
      <c r="D37" s="7">
        <f t="shared" ref="D37:L37" si="0">SUM(D24:D35)</f>
        <v>22.799999999999997</v>
      </c>
      <c r="E37" s="7">
        <f t="shared" si="0"/>
        <v>22.799999999999997</v>
      </c>
      <c r="F37" s="7">
        <f t="shared" si="0"/>
        <v>22.799999999999997</v>
      </c>
      <c r="G37" s="7">
        <f t="shared" si="0"/>
        <v>22.799999999999997</v>
      </c>
      <c r="H37" s="7">
        <f t="shared" si="0"/>
        <v>22.799999999999997</v>
      </c>
      <c r="I37" s="7">
        <f t="shared" si="0"/>
        <v>22.799999999999997</v>
      </c>
      <c r="J37" s="7">
        <f t="shared" si="0"/>
        <v>22.799999999999997</v>
      </c>
      <c r="K37" s="7">
        <f t="shared" si="0"/>
        <v>22.799999999999997</v>
      </c>
      <c r="L37" s="8">
        <f t="shared" si="0"/>
        <v>22.799999999999997</v>
      </c>
    </row>
    <row r="38" spans="1:12" ht="15.75" thickBot="1">
      <c r="A38" s="194"/>
      <c r="B38" s="9"/>
      <c r="C38" s="10"/>
      <c r="D38" s="10"/>
      <c r="E38" s="10"/>
      <c r="F38" s="10"/>
      <c r="G38" s="10"/>
      <c r="H38" s="10"/>
      <c r="I38" s="10"/>
      <c r="J38" s="10"/>
      <c r="K38" s="10"/>
      <c r="L38" s="11"/>
    </row>
    <row r="39" spans="1:12" ht="20.25" thickTop="1" thickBot="1">
      <c r="A39" s="34"/>
    </row>
    <row r="40" spans="1:12" ht="44.45" customHeight="1" thickTop="1" thickBot="1">
      <c r="A40" s="192" t="s">
        <v>32</v>
      </c>
      <c r="B40" s="201" t="s">
        <v>20</v>
      </c>
      <c r="C40" s="202"/>
      <c r="D40" s="202"/>
      <c r="E40" s="202"/>
      <c r="F40" s="202"/>
      <c r="G40" s="202"/>
      <c r="H40" s="202"/>
      <c r="I40" s="202"/>
      <c r="J40" s="202"/>
      <c r="K40" s="202"/>
      <c r="L40" s="203"/>
    </row>
    <row r="41" spans="1:12" ht="15.75" thickTop="1">
      <c r="A41" s="193"/>
      <c r="B41" s="24" t="s">
        <v>11</v>
      </c>
      <c r="C41" s="4"/>
      <c r="D41" s="25">
        <f>+D37-D16</f>
        <v>0.43631479999999812</v>
      </c>
      <c r="E41" s="26">
        <f>+E37-E17</f>
        <v>-0.7729504000000027</v>
      </c>
      <c r="F41" s="26">
        <f>+F37-F18</f>
        <v>-1.9150342000000009</v>
      </c>
      <c r="G41" s="25">
        <f>+G37-G16</f>
        <v>0.3691333999999955</v>
      </c>
      <c r="H41" s="26">
        <f>+H37-H17</f>
        <v>-1.1088574000000051</v>
      </c>
      <c r="I41" s="26">
        <f>+I37-I18</f>
        <v>-2.5196668000000066</v>
      </c>
      <c r="J41" s="25">
        <f>+J37-J16</f>
        <v>0.30195199999999645</v>
      </c>
      <c r="K41" s="26">
        <f>+K37-K17</f>
        <v>-2.452485400000004</v>
      </c>
      <c r="L41" s="27">
        <f>+L37-L18</f>
        <v>-5.2741042000000036</v>
      </c>
    </row>
    <row r="42" spans="1:12">
      <c r="A42" s="193"/>
      <c r="B42" s="6"/>
      <c r="C42" s="7"/>
      <c r="D42" s="7"/>
      <c r="E42" s="7"/>
      <c r="F42" s="7"/>
      <c r="G42" s="7"/>
      <c r="H42" s="7"/>
      <c r="I42" s="7"/>
      <c r="J42" s="7"/>
      <c r="K42" s="7"/>
      <c r="L42" s="8"/>
    </row>
    <row r="43" spans="1:12" ht="30">
      <c r="A43" s="193"/>
      <c r="B43" s="13" t="s">
        <v>12</v>
      </c>
      <c r="C43" s="7"/>
      <c r="D43" s="28">
        <f>+D37-D29-D30-D16</f>
        <v>-4.9636852000000005</v>
      </c>
      <c r="E43" s="28">
        <f>+E37-E30-E29-E17</f>
        <v>-6.1729504000000013</v>
      </c>
      <c r="F43" s="28">
        <f>+F37-F30-F29-F18</f>
        <v>-7.3150341999999995</v>
      </c>
      <c r="G43" s="28">
        <f>+G37-G29-G30-G16</f>
        <v>-5.0308666000000031</v>
      </c>
      <c r="H43" s="28">
        <f>+H37-H30-H29-H17</f>
        <v>-6.5088574000000037</v>
      </c>
      <c r="I43" s="28">
        <f>+I37-I30-I29-I18</f>
        <v>-7.9196668000000052</v>
      </c>
      <c r="J43" s="28">
        <f>+J37-J29-J30-J16</f>
        <v>-5.0980480000000021</v>
      </c>
      <c r="K43" s="28">
        <f>+K37-K30-K29-K17</f>
        <v>-7.8524854000000026</v>
      </c>
      <c r="L43" s="29">
        <f>+L37-L30-L29-L18</f>
        <v>-10.674104200000002</v>
      </c>
    </row>
    <row r="44" spans="1:12">
      <c r="A44" s="193"/>
      <c r="B44" s="6"/>
      <c r="C44" s="7"/>
      <c r="D44" s="7"/>
      <c r="E44" s="7"/>
      <c r="F44" s="7"/>
      <c r="G44" s="7"/>
      <c r="H44" s="7"/>
      <c r="I44" s="7"/>
      <c r="J44" s="7"/>
      <c r="K44" s="7"/>
      <c r="L44" s="8"/>
    </row>
    <row r="45" spans="1:12">
      <c r="A45" s="193"/>
      <c r="B45" s="30" t="s">
        <v>13</v>
      </c>
      <c r="C45" s="7"/>
      <c r="D45" s="28">
        <f>+D37-D33-D16</f>
        <v>-2.5636852000000019</v>
      </c>
      <c r="E45" s="28">
        <f>+E37-E33-E17</f>
        <v>-3.7729504000000027</v>
      </c>
      <c r="F45" s="28">
        <f>+F37-F33-F18</f>
        <v>-4.9150342000000009</v>
      </c>
      <c r="G45" s="28">
        <f>+G37-G33-G16</f>
        <v>-2.6308666000000045</v>
      </c>
      <c r="H45" s="28">
        <f>+H37-H33-H17</f>
        <v>-4.1088574000000051</v>
      </c>
      <c r="I45" s="28">
        <f>+I37-I33-I18</f>
        <v>-5.5196668000000066</v>
      </c>
      <c r="J45" s="28">
        <f>+J37-J33-J16</f>
        <v>-2.6980480000000036</v>
      </c>
      <c r="K45" s="28">
        <f>+K37-K33-K17</f>
        <v>-5.452485400000004</v>
      </c>
      <c r="L45" s="29">
        <f>+L37-L33-L18</f>
        <v>-8.2741042000000036</v>
      </c>
    </row>
    <row r="46" spans="1:12">
      <c r="A46" s="193"/>
      <c r="B46" s="6"/>
      <c r="C46" s="7"/>
      <c r="D46" s="7"/>
      <c r="E46" s="7"/>
      <c r="F46" s="7"/>
      <c r="G46" s="7"/>
      <c r="H46" s="7"/>
      <c r="I46" s="7"/>
      <c r="J46" s="7"/>
      <c r="K46" s="7"/>
      <c r="L46" s="8"/>
    </row>
    <row r="47" spans="1:12" ht="30">
      <c r="A47" s="193"/>
      <c r="B47" s="13" t="s">
        <v>30</v>
      </c>
      <c r="C47" s="7"/>
      <c r="D47" s="28">
        <f>+D37-D34-D32-D26-D16</f>
        <v>-6.9636852000000005</v>
      </c>
      <c r="E47" s="28">
        <f>+E37-E34-E32-E26-E17</f>
        <v>-8.1729504000000013</v>
      </c>
      <c r="F47" s="28">
        <f>+F37-F34-F32-F26-F18</f>
        <v>-9.3150341999999995</v>
      </c>
      <c r="G47" s="28">
        <f>+G37-G34-G32-G26-G16</f>
        <v>-7.0308666000000031</v>
      </c>
      <c r="H47" s="28">
        <f>+H37-H34-H32-H26-H17</f>
        <v>-8.5088574000000037</v>
      </c>
      <c r="I47" s="28">
        <f>+I37-I34-I32-I26-I18</f>
        <v>-9.9196668000000052</v>
      </c>
      <c r="J47" s="28">
        <f>+J37-J34-J32-J26-J16</f>
        <v>-7.0980480000000021</v>
      </c>
      <c r="K47" s="28">
        <f>+K37-K34-K32-K26-K17</f>
        <v>-9.8524854000000026</v>
      </c>
      <c r="L47" s="28">
        <f>+L37-L34-L32-L26-L18</f>
        <v>-12.674104200000002</v>
      </c>
    </row>
    <row r="48" spans="1:12">
      <c r="A48" s="193"/>
      <c r="B48" s="6"/>
      <c r="C48" s="7"/>
      <c r="D48" s="7"/>
      <c r="E48" s="7"/>
      <c r="F48" s="7"/>
      <c r="G48" s="7"/>
      <c r="H48" s="7"/>
      <c r="I48" s="7"/>
      <c r="J48" s="7"/>
      <c r="K48" s="7"/>
      <c r="L48" s="8"/>
    </row>
    <row r="49" spans="1:12" ht="15.75" thickBot="1">
      <c r="A49" s="194"/>
      <c r="B49" s="9"/>
      <c r="C49" s="10"/>
      <c r="D49" s="10"/>
      <c r="E49" s="10"/>
      <c r="F49" s="10"/>
      <c r="G49" s="10"/>
      <c r="H49" s="10"/>
      <c r="I49" s="10"/>
      <c r="J49" s="10"/>
      <c r="K49" s="10"/>
      <c r="L49" s="11"/>
    </row>
    <row r="50" spans="1:12" ht="16.5" thickTop="1" thickBot="1"/>
    <row r="51" spans="1:12" ht="15.75" thickTop="1">
      <c r="A51" s="192" t="s">
        <v>33</v>
      </c>
      <c r="B51" s="35"/>
      <c r="C51" s="36"/>
      <c r="D51" s="36"/>
      <c r="E51" s="36"/>
      <c r="F51" s="36"/>
      <c r="G51" s="36"/>
      <c r="H51" s="36"/>
      <c r="I51" s="36"/>
      <c r="J51" s="36"/>
      <c r="K51" s="36"/>
      <c r="L51" s="37"/>
    </row>
    <row r="52" spans="1:12">
      <c r="A52" s="193"/>
      <c r="B52" s="38" t="s">
        <v>16</v>
      </c>
      <c r="C52" s="2" t="s">
        <v>23</v>
      </c>
      <c r="D52" s="2"/>
      <c r="E52" s="2"/>
      <c r="F52" s="2"/>
      <c r="G52" s="2"/>
      <c r="H52" s="2"/>
      <c r="I52" s="2"/>
      <c r="J52" s="2"/>
      <c r="K52" s="2"/>
      <c r="L52" s="39"/>
    </row>
    <row r="53" spans="1:12">
      <c r="A53" s="193"/>
      <c r="B53" s="38"/>
      <c r="C53" s="2"/>
      <c r="D53" s="2"/>
      <c r="E53" s="2"/>
      <c r="F53" s="2"/>
      <c r="G53" s="2"/>
      <c r="H53" s="2"/>
      <c r="I53" s="2"/>
      <c r="J53" s="2"/>
      <c r="K53" s="2"/>
      <c r="L53" s="39"/>
    </row>
    <row r="54" spans="1:12">
      <c r="A54" s="193"/>
      <c r="B54" s="38" t="s">
        <v>17</v>
      </c>
      <c r="C54" s="2" t="s">
        <v>18</v>
      </c>
      <c r="D54" s="2"/>
      <c r="E54" s="2"/>
      <c r="F54" s="2"/>
      <c r="G54" s="2"/>
      <c r="H54" s="2"/>
      <c r="I54" s="2"/>
      <c r="J54" s="2"/>
      <c r="K54" s="2"/>
      <c r="L54" s="39"/>
    </row>
    <row r="55" spans="1:12">
      <c r="A55" s="193"/>
      <c r="B55" s="38"/>
      <c r="C55" s="2"/>
      <c r="D55" s="2"/>
      <c r="E55" s="2"/>
      <c r="F55" s="2"/>
      <c r="G55" s="2"/>
      <c r="H55" s="2"/>
      <c r="I55" s="2"/>
      <c r="J55" s="2"/>
      <c r="K55" s="2"/>
      <c r="L55" s="39"/>
    </row>
    <row r="56" spans="1:12">
      <c r="A56" s="193"/>
      <c r="B56" s="38" t="s">
        <v>19</v>
      </c>
      <c r="C56" s="2" t="s">
        <v>27</v>
      </c>
      <c r="D56" s="2"/>
      <c r="E56" s="2"/>
      <c r="F56" s="2"/>
      <c r="G56" s="2"/>
      <c r="H56" s="2"/>
      <c r="I56" s="2"/>
      <c r="J56" s="2"/>
      <c r="K56" s="2"/>
      <c r="L56" s="39"/>
    </row>
    <row r="57" spans="1:12">
      <c r="A57" s="193"/>
      <c r="B57" s="38"/>
      <c r="C57" s="2" t="s">
        <v>28</v>
      </c>
      <c r="D57" s="2"/>
      <c r="E57" s="2"/>
      <c r="F57" s="2"/>
      <c r="G57" s="2"/>
      <c r="H57" s="2"/>
      <c r="I57" s="2"/>
      <c r="J57" s="2"/>
      <c r="K57" s="2"/>
      <c r="L57" s="39"/>
    </row>
    <row r="58" spans="1:12">
      <c r="A58" s="193"/>
      <c r="B58" s="38"/>
      <c r="C58" s="2"/>
      <c r="D58" s="2"/>
      <c r="E58" s="2"/>
      <c r="F58" s="2"/>
      <c r="G58" s="2"/>
      <c r="H58" s="2"/>
      <c r="I58" s="2"/>
      <c r="J58" s="2"/>
      <c r="K58" s="2"/>
      <c r="L58" s="39"/>
    </row>
    <row r="59" spans="1:12" ht="15.75" thickBot="1">
      <c r="A59" s="194"/>
      <c r="B59" s="40"/>
      <c r="C59" s="41"/>
      <c r="D59" s="41"/>
      <c r="E59" s="41"/>
      <c r="F59" s="41"/>
      <c r="G59" s="41"/>
      <c r="H59" s="41"/>
      <c r="I59" s="41"/>
      <c r="J59" s="41"/>
      <c r="K59" s="41"/>
      <c r="L59" s="42"/>
    </row>
    <row r="60" spans="1:12" ht="15.75" thickTop="1"/>
  </sheetData>
  <mergeCells count="9">
    <mergeCell ref="B2:L2"/>
    <mergeCell ref="A4:A20"/>
    <mergeCell ref="A22:A38"/>
    <mergeCell ref="A40:A49"/>
    <mergeCell ref="A51:A59"/>
    <mergeCell ref="D4:F4"/>
    <mergeCell ref="G4:I4"/>
    <mergeCell ref="J4:L4"/>
    <mergeCell ref="B40:L40"/>
  </mergeCells>
  <printOptions horizontalCentered="1" verticalCentered="1"/>
  <pageMargins left="0.2" right="0.2" top="0.25" bottom="0.25" header="0.3" footer="0.3"/>
  <pageSetup scale="72" orientation="portrait" r:id="rId1"/>
</worksheet>
</file>

<file path=xl/worksheets/sheet2.xml><?xml version="1.0" encoding="utf-8"?>
<worksheet xmlns="http://schemas.openxmlformats.org/spreadsheetml/2006/main" xmlns:r="http://schemas.openxmlformats.org/officeDocument/2006/relationships">
  <dimension ref="A1:O36"/>
  <sheetViews>
    <sheetView workbookViewId="0">
      <selection activeCell="J9" sqref="J9"/>
    </sheetView>
  </sheetViews>
  <sheetFormatPr defaultRowHeight="15.75"/>
  <cols>
    <col min="1" max="1" width="28.140625" style="48" bestFit="1" customWidth="1"/>
    <col min="2" max="2" width="18" style="43" customWidth="1"/>
    <col min="3" max="3" width="12.85546875" style="43" customWidth="1"/>
    <col min="4" max="4" width="18" style="43" customWidth="1"/>
    <col min="5" max="5" width="12.85546875" style="43" bestFit="1" customWidth="1"/>
    <col min="6" max="6" width="8.85546875" style="43" customWidth="1"/>
    <col min="7" max="8" width="11.140625" style="43" customWidth="1"/>
    <col min="9" max="9" width="9.140625" style="43"/>
    <col min="10" max="12" width="12.5703125" style="43" customWidth="1"/>
    <col min="13" max="13" width="9.140625" style="43"/>
    <col min="14" max="16" width="19.5703125" style="43" customWidth="1"/>
    <col min="17" max="16384" width="9.140625" style="43"/>
  </cols>
  <sheetData>
    <row r="1" spans="1:15" s="160" customFormat="1" ht="23.25">
      <c r="A1" s="160" t="s">
        <v>93</v>
      </c>
    </row>
    <row r="11" spans="1:15" s="44" customFormat="1" ht="63">
      <c r="A11" s="44" t="s">
        <v>46</v>
      </c>
      <c r="B11" s="44" t="s">
        <v>39</v>
      </c>
      <c r="C11" s="44" t="s">
        <v>42</v>
      </c>
      <c r="D11" s="44" t="s">
        <v>43</v>
      </c>
      <c r="E11" s="44" t="s">
        <v>44</v>
      </c>
      <c r="F11" s="44" t="s">
        <v>47</v>
      </c>
      <c r="G11" s="44" t="s">
        <v>51</v>
      </c>
      <c r="H11" s="132" t="s">
        <v>56</v>
      </c>
      <c r="I11" s="133" t="s">
        <v>50</v>
      </c>
      <c r="J11" s="44" t="s">
        <v>48</v>
      </c>
      <c r="K11" s="44" t="s">
        <v>49</v>
      </c>
      <c r="M11" s="44" t="s">
        <v>3</v>
      </c>
      <c r="N11" s="44" t="s">
        <v>37</v>
      </c>
      <c r="O11" s="44" t="s">
        <v>55</v>
      </c>
    </row>
    <row r="12" spans="1:15">
      <c r="A12" s="48">
        <v>1</v>
      </c>
      <c r="B12" s="43">
        <v>0.37</v>
      </c>
      <c r="C12" s="50">
        <v>1.4E-2</v>
      </c>
      <c r="D12" s="50">
        <v>1.2E-2</v>
      </c>
      <c r="E12" s="45">
        <f>D12*45.06</f>
        <v>0.54072000000000009</v>
      </c>
      <c r="F12" s="51">
        <f>E12/B12</f>
        <v>1.4614054054054058</v>
      </c>
      <c r="G12" s="45">
        <f>F12*J12</f>
        <v>5.234885034288022E-2</v>
      </c>
      <c r="H12" s="134">
        <f>F12*1.05</f>
        <v>1.5344756756756761</v>
      </c>
      <c r="I12" s="135">
        <f>F12*1.1</f>
        <v>1.6075459459459465</v>
      </c>
      <c r="J12" s="50">
        <f>E12/E$16</f>
        <v>3.5820895522388069E-2</v>
      </c>
      <c r="K12" s="51">
        <f>J12*I12</f>
        <v>5.7583735377168245E-2</v>
      </c>
      <c r="M12" s="43">
        <v>2010</v>
      </c>
      <c r="N12" s="45">
        <f>'Full System Pop and Avg Day'!G13</f>
        <v>28.329347200000001</v>
      </c>
      <c r="O12" s="51">
        <f>N12*1.83</f>
        <v>51.842705376000005</v>
      </c>
    </row>
    <row r="13" spans="1:15">
      <c r="A13" s="48" t="s">
        <v>40</v>
      </c>
      <c r="B13" s="43">
        <v>0.88</v>
      </c>
      <c r="C13" s="50">
        <v>3.4000000000000002E-2</v>
      </c>
      <c r="D13" s="50">
        <v>3.5000000000000003E-2</v>
      </c>
      <c r="E13" s="45">
        <f t="shared" ref="E13:E15" si="0">D13*45.06</f>
        <v>1.5771000000000002</v>
      </c>
      <c r="F13" s="51">
        <f t="shared" ref="F13:F15" si="1">E13/B13</f>
        <v>1.7921590909090912</v>
      </c>
      <c r="G13" s="45">
        <f t="shared" ref="G13:G15" si="2">F13*J13</f>
        <v>0.18724050203527823</v>
      </c>
      <c r="H13" s="134">
        <f t="shared" ref="H13:H15" si="3">F13*1.05</f>
        <v>1.8817670454545459</v>
      </c>
      <c r="I13" s="135">
        <f t="shared" ref="I13:I15" si="4">F13*1.1</f>
        <v>1.9713750000000005</v>
      </c>
      <c r="J13" s="50">
        <f>E13/E$16</f>
        <v>0.10447761194029853</v>
      </c>
      <c r="K13" s="51">
        <f t="shared" ref="K13:K15" si="5">J13*I13</f>
        <v>0.20596455223880608</v>
      </c>
      <c r="M13" s="43">
        <v>2015</v>
      </c>
      <c r="N13" s="45">
        <f>'Full System Pop and Avg Day'!G14</f>
        <v>29.086905680000001</v>
      </c>
      <c r="O13" s="51">
        <f t="shared" ref="O13:O16" si="6">N13*1.83</f>
        <v>53.229037394400002</v>
      </c>
    </row>
    <row r="14" spans="1:15">
      <c r="A14" s="48">
        <v>5</v>
      </c>
      <c r="B14" s="43">
        <v>0.03</v>
      </c>
      <c r="C14" s="50">
        <v>1E-3</v>
      </c>
      <c r="D14" s="50">
        <v>1E-3</v>
      </c>
      <c r="E14" s="45">
        <f t="shared" si="0"/>
        <v>4.5060000000000003E-2</v>
      </c>
      <c r="F14" s="51">
        <f t="shared" si="1"/>
        <v>1.5020000000000002</v>
      </c>
      <c r="G14" s="45">
        <f t="shared" si="2"/>
        <v>4.4835820895522405E-3</v>
      </c>
      <c r="H14" s="134">
        <f t="shared" si="3"/>
        <v>1.5771000000000004</v>
      </c>
      <c r="I14" s="135">
        <f t="shared" si="4"/>
        <v>1.6522000000000003</v>
      </c>
      <c r="J14" s="50">
        <f>E14/E$16</f>
        <v>2.9850746268656721E-3</v>
      </c>
      <c r="K14" s="51">
        <f t="shared" si="5"/>
        <v>4.9319402985074645E-3</v>
      </c>
      <c r="M14" s="43">
        <v>2020</v>
      </c>
      <c r="N14" s="45">
        <f>'Full System Pop and Avg Day'!G15</f>
        <v>28.618899093333333</v>
      </c>
      <c r="O14" s="51">
        <f t="shared" si="6"/>
        <v>52.372585340800001</v>
      </c>
    </row>
    <row r="15" spans="1:15">
      <c r="A15" s="48" t="s">
        <v>8</v>
      </c>
      <c r="B15" s="43">
        <v>6.84</v>
      </c>
      <c r="C15" s="50">
        <v>0.26100000000000001</v>
      </c>
      <c r="D15" s="50">
        <v>0.28699999999999998</v>
      </c>
      <c r="E15" s="45">
        <f t="shared" si="0"/>
        <v>12.932219999999999</v>
      </c>
      <c r="F15" s="51">
        <f t="shared" si="1"/>
        <v>1.8906754385964912</v>
      </c>
      <c r="G15" s="45">
        <f t="shared" si="2"/>
        <v>1.6197726891856508</v>
      </c>
      <c r="H15" s="136">
        <f t="shared" si="3"/>
        <v>1.9852092105263159</v>
      </c>
      <c r="I15" s="137">
        <f t="shared" si="4"/>
        <v>2.0797429824561404</v>
      </c>
      <c r="J15" s="50">
        <f>E15/E$16</f>
        <v>0.85671641791044784</v>
      </c>
      <c r="K15" s="51">
        <f t="shared" si="5"/>
        <v>1.781749958104216</v>
      </c>
      <c r="M15" s="43">
        <v>2025</v>
      </c>
      <c r="N15" s="45">
        <f>'Full System Pop and Avg Day'!G16</f>
        <v>29.651195146666673</v>
      </c>
      <c r="O15" s="51">
        <f t="shared" si="6"/>
        <v>54.261687118400012</v>
      </c>
    </row>
    <row r="16" spans="1:15" s="52" customFormat="1" ht="16.5" thickBot="1">
      <c r="A16" s="138" t="s">
        <v>45</v>
      </c>
      <c r="B16" s="153">
        <f>SUM(B12:B15)</f>
        <v>8.1199999999999992</v>
      </c>
      <c r="C16" s="154">
        <f>SUM(C12:C15)</f>
        <v>0.31</v>
      </c>
      <c r="D16" s="154">
        <f>SUM(D12:D15)</f>
        <v>0.33499999999999996</v>
      </c>
      <c r="E16" s="155">
        <f>SUM(E12:E15)</f>
        <v>15.095099999999999</v>
      </c>
      <c r="F16" s="153"/>
      <c r="G16" s="139">
        <f>SUM(G12:G15)</f>
        <v>1.8638456236533614</v>
      </c>
      <c r="H16" s="153"/>
      <c r="I16" s="153"/>
      <c r="J16" s="154">
        <f>SUM(J12:J15)</f>
        <v>1</v>
      </c>
      <c r="K16" s="139">
        <f>SUM(K12:K15)</f>
        <v>2.0502301860186978</v>
      </c>
      <c r="L16" s="153"/>
      <c r="M16" s="153">
        <v>2030</v>
      </c>
      <c r="N16" s="155">
        <f>'Full System Pop and Avg Day'!G17</f>
        <v>30.683491199999999</v>
      </c>
      <c r="O16" s="139">
        <f t="shared" si="6"/>
        <v>56.150788896000002</v>
      </c>
    </row>
    <row r="17" spans="1:8" ht="16.5" thickTop="1">
      <c r="C17" s="50"/>
      <c r="D17" s="49"/>
    </row>
    <row r="20" spans="1:8" s="54" customFormat="1" ht="19.5" thickBot="1">
      <c r="A20" s="158" t="s">
        <v>63</v>
      </c>
      <c r="B20" s="159"/>
      <c r="C20" s="159"/>
      <c r="D20" s="159"/>
      <c r="E20" s="159"/>
      <c r="F20" s="159"/>
    </row>
    <row r="21" spans="1:8" s="52" customFormat="1">
      <c r="A21" s="53" t="s">
        <v>46</v>
      </c>
      <c r="B21" s="52">
        <v>2010</v>
      </c>
      <c r="C21" s="52">
        <v>2015</v>
      </c>
      <c r="D21" s="52">
        <v>2020</v>
      </c>
      <c r="E21" s="52">
        <v>2025</v>
      </c>
      <c r="F21" s="52">
        <v>2030</v>
      </c>
    </row>
    <row r="22" spans="1:8">
      <c r="A22" s="48">
        <v>1</v>
      </c>
      <c r="B22" s="51">
        <f>N$12*$C12</f>
        <v>0.39661086080000002</v>
      </c>
      <c r="C22" s="51">
        <f>$N$13*$C12</f>
        <v>0.40721667952000001</v>
      </c>
      <c r="D22" s="51">
        <f>$N$14*$C12</f>
        <v>0.40066458730666665</v>
      </c>
      <c r="E22" s="51">
        <f>$N$15*$C12</f>
        <v>0.41511673205333344</v>
      </c>
      <c r="F22" s="51">
        <f>$N$16*$C12</f>
        <v>0.4295688768</v>
      </c>
    </row>
    <row r="23" spans="1:8">
      <c r="A23" s="48" t="s">
        <v>40</v>
      </c>
      <c r="B23" s="51">
        <f t="shared" ref="B23:B25" si="7">N$12*$C13</f>
        <v>0.96319780480000006</v>
      </c>
      <c r="C23" s="51">
        <f t="shared" ref="C23:C25" si="8">$N$13*$C13</f>
        <v>0.98895479312000012</v>
      </c>
      <c r="D23" s="51">
        <f t="shared" ref="D23:D25" si="9">$N$14*$C13</f>
        <v>0.97304256917333343</v>
      </c>
      <c r="E23" s="51">
        <f t="shared" ref="E23:E25" si="10">$N$15*$C13</f>
        <v>1.0081406349866671</v>
      </c>
      <c r="F23" s="51">
        <f t="shared" ref="F23:F25" si="11">$N$16*$C13</f>
        <v>1.0432387008000001</v>
      </c>
    </row>
    <row r="24" spans="1:8">
      <c r="A24" s="48">
        <v>5</v>
      </c>
      <c r="B24" s="51">
        <f t="shared" si="7"/>
        <v>2.83293472E-2</v>
      </c>
      <c r="C24" s="51">
        <f t="shared" si="8"/>
        <v>2.908690568E-2</v>
      </c>
      <c r="D24" s="51">
        <f t="shared" si="9"/>
        <v>2.8618899093333334E-2</v>
      </c>
      <c r="E24" s="51">
        <f t="shared" si="10"/>
        <v>2.9651195146666674E-2</v>
      </c>
      <c r="F24" s="51">
        <f t="shared" si="11"/>
        <v>3.0683491199999999E-2</v>
      </c>
    </row>
    <row r="25" spans="1:8">
      <c r="A25" s="48" t="s">
        <v>8</v>
      </c>
      <c r="B25" s="51">
        <f t="shared" si="7"/>
        <v>7.3939596192000003</v>
      </c>
      <c r="C25" s="51">
        <f t="shared" si="8"/>
        <v>7.5916823824800002</v>
      </c>
      <c r="D25" s="51">
        <f t="shared" si="9"/>
        <v>7.4695326633599999</v>
      </c>
      <c r="E25" s="51">
        <f t="shared" si="10"/>
        <v>7.7389619332800024</v>
      </c>
      <c r="F25" s="51">
        <f t="shared" si="11"/>
        <v>8.0083912032000004</v>
      </c>
    </row>
    <row r="26" spans="1:8" s="52" customFormat="1" ht="16.5" thickBot="1">
      <c r="A26" s="138" t="s">
        <v>41</v>
      </c>
      <c r="B26" s="139">
        <f>SUM(B22:B25)</f>
        <v>8.782097632000001</v>
      </c>
      <c r="C26" s="139">
        <f t="shared" ref="C26:F26" si="12">SUM(C22:C25)</f>
        <v>9.0169407608000007</v>
      </c>
      <c r="D26" s="139">
        <f t="shared" si="12"/>
        <v>8.8718587189333338</v>
      </c>
      <c r="E26" s="139">
        <f t="shared" si="12"/>
        <v>9.1918704954666701</v>
      </c>
      <c r="F26" s="139">
        <f t="shared" si="12"/>
        <v>9.5118822720000011</v>
      </c>
    </row>
    <row r="27" spans="1:8" ht="16.5" thickTop="1"/>
    <row r="28" spans="1:8" s="54" customFormat="1" ht="19.5" thickBot="1">
      <c r="A28" s="158" t="s">
        <v>88</v>
      </c>
      <c r="B28" s="159"/>
      <c r="C28" s="159"/>
      <c r="D28" s="159"/>
      <c r="E28" s="159"/>
      <c r="F28" s="159"/>
    </row>
    <row r="29" spans="1:8">
      <c r="A29" s="53" t="s">
        <v>46</v>
      </c>
      <c r="B29" s="52">
        <v>2010</v>
      </c>
      <c r="C29" s="52">
        <v>2015</v>
      </c>
      <c r="D29" s="52">
        <v>2020</v>
      </c>
      <c r="E29" s="52">
        <v>2025</v>
      </c>
      <c r="F29" s="52">
        <v>2030</v>
      </c>
      <c r="G29" s="52"/>
      <c r="H29" s="52"/>
    </row>
    <row r="30" spans="1:8">
      <c r="A30" s="48">
        <v>1</v>
      </c>
      <c r="B30" s="51">
        <f>B22*$F12</f>
        <v>0.57960925581561096</v>
      </c>
      <c r="C30" s="51">
        <f>C22*$H12</f>
        <v>0.62486408945285732</v>
      </c>
      <c r="D30" s="51">
        <f t="shared" ref="D30:F30" si="13">D22*$I12</f>
        <v>0.64408673300893771</v>
      </c>
      <c r="E30" s="51">
        <f t="shared" si="13"/>
        <v>0.66731921970666586</v>
      </c>
      <c r="F30" s="51">
        <f t="shared" si="13"/>
        <v>0.69055170640439378</v>
      </c>
    </row>
    <row r="31" spans="1:8">
      <c r="A31" s="48" t="s">
        <v>40</v>
      </c>
      <c r="B31" s="51">
        <f t="shared" ref="B31:B33" si="14">B23*$F13</f>
        <v>1.7262037022160004</v>
      </c>
      <c r="C31" s="51">
        <f t="shared" ref="C31:C33" si="15">C23*$H13</f>
        <v>1.8609825391375343</v>
      </c>
      <c r="D31" s="51">
        <f t="shared" ref="D31:F31" si="16">D23*$I13</f>
        <v>1.9182317948040808</v>
      </c>
      <c r="E31" s="51">
        <f t="shared" si="16"/>
        <v>1.9874232442968414</v>
      </c>
      <c r="F31" s="51">
        <f t="shared" si="16"/>
        <v>2.056614693789601</v>
      </c>
    </row>
    <row r="32" spans="1:8">
      <c r="A32" s="48">
        <v>5</v>
      </c>
      <c r="B32" s="51">
        <f t="shared" si="14"/>
        <v>4.2550679494400008E-2</v>
      </c>
      <c r="C32" s="51">
        <f t="shared" si="15"/>
        <v>4.5872958947928012E-2</v>
      </c>
      <c r="D32" s="51">
        <f t="shared" ref="D32:F32" si="17">D24*$I14</f>
        <v>4.7284145082005347E-2</v>
      </c>
      <c r="E32" s="51">
        <f t="shared" si="17"/>
        <v>4.898970462132269E-2</v>
      </c>
      <c r="F32" s="51">
        <f t="shared" si="17"/>
        <v>5.0695264160640012E-2</v>
      </c>
    </row>
    <row r="33" spans="1:8">
      <c r="A33" s="48" t="s">
        <v>8</v>
      </c>
      <c r="B33" s="51">
        <f t="shared" si="14"/>
        <v>13.979577845995706</v>
      </c>
      <c r="C33" s="51">
        <f t="shared" si="15"/>
        <v>15.071077789089662</v>
      </c>
      <c r="D33" s="51">
        <f t="shared" ref="D33:F33" si="18">D25*$I15</f>
        <v>15.534708138849885</v>
      </c>
      <c r="E33" s="51">
        <f t="shared" si="18"/>
        <v>16.095051772234292</v>
      </c>
      <c r="F33" s="51">
        <f t="shared" si="18"/>
        <v>16.655395405618687</v>
      </c>
    </row>
    <row r="34" spans="1:8" ht="16.5" thickBot="1">
      <c r="A34" s="138" t="s">
        <v>54</v>
      </c>
      <c r="B34" s="139">
        <f>SUM(B30:B33)</f>
        <v>16.32794148352172</v>
      </c>
      <c r="C34" s="139">
        <f t="shared" ref="C34" si="19">SUM(C30:C33)</f>
        <v>17.602797376627983</v>
      </c>
      <c r="D34" s="139">
        <f t="shared" ref="D34" si="20">SUM(D30:D33)</f>
        <v>18.144310811744909</v>
      </c>
      <c r="E34" s="139">
        <f t="shared" ref="E34" si="21">SUM(E30:E33)</f>
        <v>18.798783940859124</v>
      </c>
      <c r="F34" s="139">
        <f t="shared" ref="F34" si="22">SUM(F30:F33)</f>
        <v>19.453257069973322</v>
      </c>
      <c r="G34" s="52"/>
      <c r="H34" s="52"/>
    </row>
    <row r="35" spans="1:8" ht="16.5" thickTop="1">
      <c r="A35" s="43"/>
    </row>
    <row r="36" spans="1:8">
      <c r="A36" s="4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O36"/>
  <sheetViews>
    <sheetView workbookViewId="0">
      <selection activeCell="K7" sqref="K7"/>
    </sheetView>
  </sheetViews>
  <sheetFormatPr defaultRowHeight="15.75"/>
  <cols>
    <col min="1" max="1" width="28.140625" style="48" bestFit="1" customWidth="1"/>
    <col min="2" max="2" width="18" style="43" customWidth="1"/>
    <col min="3" max="3" width="12.85546875" style="43" customWidth="1"/>
    <col min="4" max="4" width="18" style="43" customWidth="1"/>
    <col min="5" max="5" width="12.85546875" style="43" bestFit="1" customWidth="1"/>
    <col min="6" max="6" width="8.85546875" style="43" customWidth="1"/>
    <col min="7" max="8" width="11.140625" style="43" customWidth="1"/>
    <col min="9" max="9" width="9.140625" style="43"/>
    <col min="10" max="12" width="12.5703125" style="43" customWidth="1"/>
    <col min="13" max="13" width="9.140625" style="43"/>
    <col min="14" max="16" width="19.5703125" style="43" customWidth="1"/>
    <col min="17" max="16384" width="9.140625" style="43"/>
  </cols>
  <sheetData>
    <row r="1" spans="1:15" s="160" customFormat="1" ht="23.25">
      <c r="A1" s="160" t="s">
        <v>94</v>
      </c>
    </row>
    <row r="11" spans="1:15" s="44" customFormat="1" ht="63">
      <c r="A11" s="44" t="s">
        <v>46</v>
      </c>
      <c r="B11" s="44" t="s">
        <v>39</v>
      </c>
      <c r="C11" s="44" t="s">
        <v>42</v>
      </c>
      <c r="D11" s="44" t="s">
        <v>43</v>
      </c>
      <c r="E11" s="44" t="s">
        <v>44</v>
      </c>
      <c r="F11" s="44" t="s">
        <v>47</v>
      </c>
      <c r="G11" s="44" t="s">
        <v>51</v>
      </c>
      <c r="H11" s="132" t="s">
        <v>56</v>
      </c>
      <c r="I11" s="133" t="s">
        <v>50</v>
      </c>
      <c r="J11" s="44" t="s">
        <v>48</v>
      </c>
      <c r="K11" s="44" t="s">
        <v>49</v>
      </c>
      <c r="M11" s="44" t="s">
        <v>3</v>
      </c>
      <c r="N11" s="44" t="s">
        <v>37</v>
      </c>
      <c r="O11" s="44" t="s">
        <v>55</v>
      </c>
    </row>
    <row r="12" spans="1:15">
      <c r="A12" s="48">
        <v>1</v>
      </c>
      <c r="B12" s="43">
        <v>0.37</v>
      </c>
      <c r="C12" s="50">
        <v>1.4E-2</v>
      </c>
      <c r="D12" s="50">
        <v>1.2E-2</v>
      </c>
      <c r="E12" s="45">
        <f>D12*45.06</f>
        <v>0.54072000000000009</v>
      </c>
      <c r="F12" s="51">
        <f>E12/B12</f>
        <v>1.4614054054054058</v>
      </c>
      <c r="G12" s="45">
        <f>F12*J12</f>
        <v>5.234885034288022E-2</v>
      </c>
      <c r="H12" s="134">
        <f>F12*1.05</f>
        <v>1.5344756756756761</v>
      </c>
      <c r="I12" s="135">
        <f>F12*1.1</f>
        <v>1.6075459459459465</v>
      </c>
      <c r="J12" s="50">
        <f>E12/E$16</f>
        <v>3.5820895522388069E-2</v>
      </c>
      <c r="K12" s="51">
        <f>J12*I12</f>
        <v>5.7583735377168245E-2</v>
      </c>
      <c r="M12" s="43">
        <v>2010</v>
      </c>
      <c r="N12" s="45">
        <f>'Full System Pop and Avg Day'!G22</f>
        <v>28.329347200000001</v>
      </c>
      <c r="O12" s="51">
        <f>N12*1.83</f>
        <v>51.842705376000005</v>
      </c>
    </row>
    <row r="13" spans="1:15">
      <c r="A13" s="48" t="s">
        <v>40</v>
      </c>
      <c r="B13" s="43">
        <v>0.88</v>
      </c>
      <c r="C13" s="50">
        <v>3.4000000000000002E-2</v>
      </c>
      <c r="D13" s="50">
        <v>3.5000000000000003E-2</v>
      </c>
      <c r="E13" s="45">
        <f t="shared" ref="E13:E15" si="0">D13*45.06</f>
        <v>1.5771000000000002</v>
      </c>
      <c r="F13" s="51">
        <f t="shared" ref="F13:F15" si="1">E13/B13</f>
        <v>1.7921590909090912</v>
      </c>
      <c r="G13" s="45">
        <f t="shared" ref="G13:G15" si="2">F13*J13</f>
        <v>0.18724050203527823</v>
      </c>
      <c r="H13" s="134">
        <f t="shared" ref="H13:H15" si="3">F13*1.05</f>
        <v>1.8817670454545459</v>
      </c>
      <c r="I13" s="135">
        <f t="shared" ref="I13:I15" si="4">F13*1.1</f>
        <v>1.9713750000000005</v>
      </c>
      <c r="J13" s="50">
        <f>E13/E$16</f>
        <v>0.10447761194029853</v>
      </c>
      <c r="K13" s="51">
        <f t="shared" ref="K13:K15" si="5">J13*I13</f>
        <v>0.20596455223880608</v>
      </c>
      <c r="M13" s="43">
        <v>2015</v>
      </c>
      <c r="N13" s="45">
        <f>'Full System Pop and Avg Day'!G23</f>
        <v>30.5730866</v>
      </c>
      <c r="O13" s="51">
        <f t="shared" ref="O13:O16" si="6">N13*1.83</f>
        <v>55.948748477999999</v>
      </c>
    </row>
    <row r="14" spans="1:15">
      <c r="A14" s="48">
        <v>5</v>
      </c>
      <c r="B14" s="43">
        <v>0.03</v>
      </c>
      <c r="C14" s="50">
        <v>1E-3</v>
      </c>
      <c r="D14" s="50">
        <v>1E-3</v>
      </c>
      <c r="E14" s="45">
        <f t="shared" si="0"/>
        <v>4.5060000000000003E-2</v>
      </c>
      <c r="F14" s="51">
        <f t="shared" si="1"/>
        <v>1.5020000000000002</v>
      </c>
      <c r="G14" s="45">
        <f t="shared" si="2"/>
        <v>4.4835820895522405E-3</v>
      </c>
      <c r="H14" s="134">
        <f t="shared" si="3"/>
        <v>1.5771000000000004</v>
      </c>
      <c r="I14" s="135">
        <f t="shared" si="4"/>
        <v>1.6522000000000003</v>
      </c>
      <c r="J14" s="50">
        <f>E14/E$16</f>
        <v>2.9850746268656721E-3</v>
      </c>
      <c r="K14" s="51">
        <f t="shared" si="5"/>
        <v>4.9319402985074645E-3</v>
      </c>
      <c r="M14" s="43">
        <v>2020</v>
      </c>
      <c r="N14" s="45">
        <f>'Full System Pop and Avg Day'!G24</f>
        <v>30.974371413333337</v>
      </c>
      <c r="O14" s="51">
        <f t="shared" si="6"/>
        <v>56.683099686400006</v>
      </c>
    </row>
    <row r="15" spans="1:15">
      <c r="A15" s="48" t="s">
        <v>8</v>
      </c>
      <c r="B15" s="43">
        <v>6.84</v>
      </c>
      <c r="C15" s="50">
        <v>0.26100000000000001</v>
      </c>
      <c r="D15" s="50">
        <v>0.28699999999999998</v>
      </c>
      <c r="E15" s="45">
        <f t="shared" si="0"/>
        <v>12.932219999999999</v>
      </c>
      <c r="F15" s="51">
        <f t="shared" si="1"/>
        <v>1.8906754385964912</v>
      </c>
      <c r="G15" s="45">
        <f t="shared" si="2"/>
        <v>1.6197726891856508</v>
      </c>
      <c r="H15" s="136">
        <f t="shared" si="3"/>
        <v>1.9852092105263159</v>
      </c>
      <c r="I15" s="137">
        <f t="shared" si="4"/>
        <v>2.0797429824561404</v>
      </c>
      <c r="J15" s="50">
        <f>E15/E$16</f>
        <v>0.85671641791044784</v>
      </c>
      <c r="K15" s="51">
        <f t="shared" si="5"/>
        <v>1.781749958104216</v>
      </c>
      <c r="M15" s="43">
        <v>2025</v>
      </c>
      <c r="N15" s="45">
        <f>'Full System Pop and Avg Day'!G25</f>
        <v>32.072870506666668</v>
      </c>
      <c r="O15" s="51">
        <f t="shared" si="6"/>
        <v>58.693353027200004</v>
      </c>
    </row>
    <row r="16" spans="1:15" s="52" customFormat="1" ht="16.5" thickBot="1">
      <c r="A16" s="138" t="s">
        <v>45</v>
      </c>
      <c r="B16" s="153">
        <f>SUM(B12:B15)</f>
        <v>8.1199999999999992</v>
      </c>
      <c r="C16" s="154">
        <f>SUM(C12:C15)</f>
        <v>0.31</v>
      </c>
      <c r="D16" s="154">
        <f>SUM(D12:D15)</f>
        <v>0.33499999999999996</v>
      </c>
      <c r="E16" s="155">
        <f>SUM(E12:E15)</f>
        <v>15.095099999999999</v>
      </c>
      <c r="F16" s="153"/>
      <c r="G16" s="139">
        <f>SUM(G12:G15)</f>
        <v>1.8638456236533614</v>
      </c>
      <c r="H16" s="153"/>
      <c r="I16" s="153"/>
      <c r="J16" s="154">
        <f>SUM(J12:J15)</f>
        <v>1</v>
      </c>
      <c r="K16" s="139">
        <f>SUM(K12:K15)</f>
        <v>2.0502301860186978</v>
      </c>
      <c r="L16" s="153"/>
      <c r="M16" s="153">
        <v>2030</v>
      </c>
      <c r="N16" s="155">
        <f>'Full System Pop and Avg Day'!G26</f>
        <v>33.171369599999998</v>
      </c>
      <c r="O16" s="139">
        <f t="shared" si="6"/>
        <v>60.703606368000003</v>
      </c>
    </row>
    <row r="17" spans="1:8" ht="16.5" thickTop="1">
      <c r="C17" s="50"/>
      <c r="D17" s="49"/>
    </row>
    <row r="20" spans="1:8" s="54" customFormat="1" ht="19.5" thickBot="1">
      <c r="A20" s="158" t="s">
        <v>66</v>
      </c>
      <c r="B20" s="159"/>
      <c r="C20" s="159"/>
      <c r="D20" s="159"/>
      <c r="E20" s="159"/>
      <c r="F20" s="159"/>
    </row>
    <row r="21" spans="1:8" s="52" customFormat="1">
      <c r="A21" s="53" t="s">
        <v>46</v>
      </c>
      <c r="B21" s="52">
        <v>2010</v>
      </c>
      <c r="C21" s="52">
        <v>2015</v>
      </c>
      <c r="D21" s="52">
        <v>2020</v>
      </c>
      <c r="E21" s="52">
        <v>2025</v>
      </c>
      <c r="F21" s="52">
        <v>2030</v>
      </c>
    </row>
    <row r="22" spans="1:8">
      <c r="A22" s="48">
        <v>1</v>
      </c>
      <c r="B22" s="51">
        <f>N$12*$C12</f>
        <v>0.39661086080000002</v>
      </c>
      <c r="C22" s="51">
        <f>$N$13*$C12</f>
        <v>0.42802321240000002</v>
      </c>
      <c r="D22" s="51">
        <f>$N$14*$C12</f>
        <v>0.43364119978666671</v>
      </c>
      <c r="E22" s="51">
        <f>$N$15*$C12</f>
        <v>0.44902018709333336</v>
      </c>
      <c r="F22" s="51">
        <f>$N$16*$C12</f>
        <v>0.4643991744</v>
      </c>
    </row>
    <row r="23" spans="1:8">
      <c r="A23" s="48" t="s">
        <v>40</v>
      </c>
      <c r="B23" s="51">
        <f t="shared" ref="B23:B25" si="7">N$12*$C13</f>
        <v>0.96319780480000006</v>
      </c>
      <c r="C23" s="51">
        <f t="shared" ref="C23:C25" si="8">$N$13*$C13</f>
        <v>1.0394849444000001</v>
      </c>
      <c r="D23" s="51">
        <f t="shared" ref="D23:D25" si="9">$N$14*$C13</f>
        <v>1.0531286280533336</v>
      </c>
      <c r="E23" s="51">
        <f t="shared" ref="E23:E25" si="10">$N$15*$C13</f>
        <v>1.0904775972266667</v>
      </c>
      <c r="F23" s="51">
        <f t="shared" ref="F23:F25" si="11">$N$16*$C13</f>
        <v>1.1278265664</v>
      </c>
    </row>
    <row r="24" spans="1:8">
      <c r="A24" s="48">
        <v>5</v>
      </c>
      <c r="B24" s="51">
        <f t="shared" si="7"/>
        <v>2.83293472E-2</v>
      </c>
      <c r="C24" s="51">
        <f t="shared" si="8"/>
        <v>3.05730866E-2</v>
      </c>
      <c r="D24" s="51">
        <f t="shared" si="9"/>
        <v>3.0974371413333337E-2</v>
      </c>
      <c r="E24" s="51">
        <f t="shared" si="10"/>
        <v>3.207287050666667E-2</v>
      </c>
      <c r="F24" s="51">
        <f t="shared" si="11"/>
        <v>3.31713696E-2</v>
      </c>
    </row>
    <row r="25" spans="1:8">
      <c r="A25" s="48" t="s">
        <v>8</v>
      </c>
      <c r="B25" s="51">
        <f t="shared" si="7"/>
        <v>7.3939596192000003</v>
      </c>
      <c r="C25" s="51">
        <f t="shared" si="8"/>
        <v>7.9795756026000006</v>
      </c>
      <c r="D25" s="51">
        <f t="shared" si="9"/>
        <v>8.0843109388800016</v>
      </c>
      <c r="E25" s="51">
        <f t="shared" si="10"/>
        <v>8.3710192022400012</v>
      </c>
      <c r="F25" s="51">
        <f t="shared" si="11"/>
        <v>8.6577274656000007</v>
      </c>
    </row>
    <row r="26" spans="1:8" s="52" customFormat="1" ht="16.5" thickBot="1">
      <c r="A26" s="138" t="s">
        <v>41</v>
      </c>
      <c r="B26" s="139">
        <f>SUM(B22:B25)</f>
        <v>8.782097632000001</v>
      </c>
      <c r="C26" s="139">
        <f t="shared" ref="C26:F26" si="12">SUM(C22:C25)</f>
        <v>9.4776568460000004</v>
      </c>
      <c r="D26" s="139">
        <f t="shared" si="12"/>
        <v>9.6020551381333359</v>
      </c>
      <c r="E26" s="139">
        <f t="shared" si="12"/>
        <v>9.9425898570666682</v>
      </c>
      <c r="F26" s="139">
        <f t="shared" si="12"/>
        <v>10.283124576000001</v>
      </c>
    </row>
    <row r="27" spans="1:8" ht="16.5" thickTop="1"/>
    <row r="28" spans="1:8" s="54" customFormat="1" ht="19.5" thickBot="1">
      <c r="A28" s="158" t="s">
        <v>85</v>
      </c>
      <c r="B28" s="159"/>
      <c r="C28" s="159"/>
      <c r="D28" s="159"/>
      <c r="E28" s="159"/>
      <c r="F28" s="159"/>
    </row>
    <row r="29" spans="1:8">
      <c r="A29" s="53" t="s">
        <v>46</v>
      </c>
      <c r="B29" s="52">
        <v>2010</v>
      </c>
      <c r="C29" s="52">
        <v>2015</v>
      </c>
      <c r="D29" s="52">
        <v>2020</v>
      </c>
      <c r="E29" s="52">
        <v>2025</v>
      </c>
      <c r="F29" s="52">
        <v>2030</v>
      </c>
      <c r="G29" s="52"/>
      <c r="H29" s="52"/>
    </row>
    <row r="30" spans="1:8">
      <c r="A30" s="48">
        <v>1</v>
      </c>
      <c r="B30" s="51">
        <f>B22*$F12</f>
        <v>0.57960925581561096</v>
      </c>
      <c r="C30" s="51">
        <f>C22*$H12</f>
        <v>0.65679120805236346</v>
      </c>
      <c r="D30" s="51">
        <f t="shared" ref="D30:F30" si="13">D22*$H12</f>
        <v>0.66541187304345628</v>
      </c>
      <c r="E30" s="51">
        <f t="shared" si="13"/>
        <v>0.68901055498206121</v>
      </c>
      <c r="F30" s="51">
        <f t="shared" si="13"/>
        <v>0.71260923692066613</v>
      </c>
    </row>
    <row r="31" spans="1:8">
      <c r="A31" s="48" t="s">
        <v>40</v>
      </c>
      <c r="B31" s="51">
        <f t="shared" ref="B31:B33" si="14">B23*$F13</f>
        <v>1.7262037022160004</v>
      </c>
      <c r="C31" s="51">
        <f t="shared" ref="C31:F33" si="15">C23*$H13</f>
        <v>1.956068512618071</v>
      </c>
      <c r="D31" s="51">
        <f t="shared" si="15"/>
        <v>1.9817427468955211</v>
      </c>
      <c r="E31" s="51">
        <f t="shared" si="15"/>
        <v>2.052024806267597</v>
      </c>
      <c r="F31" s="51">
        <f t="shared" si="15"/>
        <v>2.1223068656396733</v>
      </c>
    </row>
    <row r="32" spans="1:8">
      <c r="A32" s="48">
        <v>5</v>
      </c>
      <c r="B32" s="51">
        <f t="shared" si="14"/>
        <v>4.2550679494400008E-2</v>
      </c>
      <c r="C32" s="51">
        <f t="shared" si="15"/>
        <v>4.8216814876860012E-2</v>
      </c>
      <c r="D32" s="51">
        <f t="shared" si="15"/>
        <v>4.8849681155968015E-2</v>
      </c>
      <c r="E32" s="51">
        <f t="shared" si="15"/>
        <v>5.0582124076064015E-2</v>
      </c>
      <c r="F32" s="51">
        <f t="shared" si="15"/>
        <v>5.2314566996160015E-2</v>
      </c>
    </row>
    <row r="33" spans="1:8">
      <c r="A33" s="48" t="s">
        <v>8</v>
      </c>
      <c r="B33" s="51">
        <f t="shared" si="14"/>
        <v>13.979577845995706</v>
      </c>
      <c r="C33" s="51">
        <f t="shared" si="15"/>
        <v>15.841126982372598</v>
      </c>
      <c r="D33" s="51">
        <f t="shared" si="15"/>
        <v>16.049048536623229</v>
      </c>
      <c r="E33" s="51">
        <f t="shared" si="15"/>
        <v>16.618224421779505</v>
      </c>
      <c r="F33" s="51">
        <f t="shared" si="15"/>
        <v>17.187400306935778</v>
      </c>
    </row>
    <row r="34" spans="1:8" ht="16.5" thickBot="1">
      <c r="A34" s="138" t="s">
        <v>54</v>
      </c>
      <c r="B34" s="139">
        <f>SUM(B30:B33)</f>
        <v>16.32794148352172</v>
      </c>
      <c r="C34" s="139">
        <f t="shared" ref="C34:F34" si="16">SUM(C30:C33)</f>
        <v>18.502203517919892</v>
      </c>
      <c r="D34" s="139">
        <f t="shared" si="16"/>
        <v>18.745052837718173</v>
      </c>
      <c r="E34" s="139">
        <f t="shared" si="16"/>
        <v>19.409841907105228</v>
      </c>
      <c r="F34" s="139">
        <f t="shared" si="16"/>
        <v>20.07463097649228</v>
      </c>
      <c r="G34" s="52"/>
      <c r="H34" s="52"/>
    </row>
    <row r="35" spans="1:8" ht="16.5" thickTop="1">
      <c r="A35" s="43"/>
    </row>
    <row r="36" spans="1:8">
      <c r="A36" s="4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O36"/>
  <sheetViews>
    <sheetView workbookViewId="0">
      <selection activeCell="K6" sqref="K6"/>
    </sheetView>
  </sheetViews>
  <sheetFormatPr defaultRowHeight="15.75"/>
  <cols>
    <col min="1" max="1" width="28.140625" style="48" bestFit="1" customWidth="1"/>
    <col min="2" max="2" width="18" style="43" customWidth="1"/>
    <col min="3" max="3" width="12.85546875" style="43" customWidth="1"/>
    <col min="4" max="4" width="18" style="43" customWidth="1"/>
    <col min="5" max="5" width="12.85546875" style="43" bestFit="1" customWidth="1"/>
    <col min="6" max="6" width="8.85546875" style="43" customWidth="1"/>
    <col min="7" max="8" width="11.140625" style="43" customWidth="1"/>
    <col min="9" max="9" width="9.140625" style="43"/>
    <col min="10" max="12" width="12.5703125" style="43" customWidth="1"/>
    <col min="13" max="13" width="9.140625" style="43"/>
    <col min="14" max="16" width="19.5703125" style="43" customWidth="1"/>
    <col min="17" max="16384" width="9.140625" style="43"/>
  </cols>
  <sheetData>
    <row r="1" spans="1:15" s="160" customFormat="1" ht="23.25">
      <c r="A1" s="160" t="s">
        <v>95</v>
      </c>
    </row>
    <row r="11" spans="1:15" s="44" customFormat="1" ht="63">
      <c r="A11" s="44" t="s">
        <v>46</v>
      </c>
      <c r="B11" s="44" t="s">
        <v>39</v>
      </c>
      <c r="C11" s="44" t="s">
        <v>42</v>
      </c>
      <c r="D11" s="44" t="s">
        <v>43</v>
      </c>
      <c r="E11" s="44" t="s">
        <v>44</v>
      </c>
      <c r="F11" s="44" t="s">
        <v>82</v>
      </c>
      <c r="G11" s="44" t="s">
        <v>51</v>
      </c>
      <c r="H11" s="132" t="s">
        <v>56</v>
      </c>
      <c r="I11" s="133" t="s">
        <v>50</v>
      </c>
      <c r="J11" s="44" t="s">
        <v>48</v>
      </c>
      <c r="K11" s="44" t="s">
        <v>49</v>
      </c>
      <c r="M11" s="44" t="s">
        <v>3</v>
      </c>
      <c r="N11" s="44" t="s">
        <v>37</v>
      </c>
      <c r="O11" s="44" t="s">
        <v>55</v>
      </c>
    </row>
    <row r="12" spans="1:15">
      <c r="A12" s="48">
        <v>1</v>
      </c>
      <c r="B12" s="43">
        <v>0.37</v>
      </c>
      <c r="C12" s="50">
        <v>1.4E-2</v>
      </c>
      <c r="D12" s="50">
        <v>1.2E-2</v>
      </c>
      <c r="E12" s="45">
        <f>D12*45.06</f>
        <v>0.54072000000000009</v>
      </c>
      <c r="F12" s="51">
        <f>E12/B12</f>
        <v>1.4614054054054058</v>
      </c>
      <c r="G12" s="45">
        <f>F12*J12</f>
        <v>5.234885034288022E-2</v>
      </c>
      <c r="H12" s="134">
        <f>F12*1.05</f>
        <v>1.5344756756756761</v>
      </c>
      <c r="I12" s="135">
        <f>F12*1.1</f>
        <v>1.6075459459459465</v>
      </c>
      <c r="J12" s="50">
        <f>E12/E$16</f>
        <v>3.5820895522388069E-2</v>
      </c>
      <c r="K12" s="51">
        <f>J12*I12</f>
        <v>5.7583735377168245E-2</v>
      </c>
      <c r="M12" s="43">
        <v>2010</v>
      </c>
      <c r="N12" s="45">
        <f>'Full System Pop and Avg Day'!G31</f>
        <v>28.329347200000001</v>
      </c>
      <c r="O12" s="51">
        <f>N12*1.83</f>
        <v>51.842705376000005</v>
      </c>
    </row>
    <row r="13" spans="1:15">
      <c r="A13" s="48" t="s">
        <v>40</v>
      </c>
      <c r="B13" s="43">
        <v>0.88</v>
      </c>
      <c r="C13" s="50">
        <v>3.4000000000000002E-2</v>
      </c>
      <c r="D13" s="50">
        <v>3.5000000000000003E-2</v>
      </c>
      <c r="E13" s="45">
        <f t="shared" ref="E13:E15" si="0">D13*45.06</f>
        <v>1.5771000000000002</v>
      </c>
      <c r="F13" s="51">
        <f t="shared" ref="F13:F15" si="1">E13/B13</f>
        <v>1.7921590909090912</v>
      </c>
      <c r="G13" s="45">
        <f t="shared" ref="G13:G15" si="2">F13*J13</f>
        <v>0.18724050203527823</v>
      </c>
      <c r="H13" s="134">
        <f t="shared" ref="H13:H15" si="3">F13*1.05</f>
        <v>1.8817670454545459</v>
      </c>
      <c r="I13" s="135">
        <f t="shared" ref="I13:I15" si="4">F13*1.1</f>
        <v>1.9713750000000005</v>
      </c>
      <c r="J13" s="50">
        <f>E13/E$16</f>
        <v>0.10447761194029853</v>
      </c>
      <c r="K13" s="51">
        <f t="shared" ref="K13:K15" si="5">J13*I13</f>
        <v>0.20596455223880608</v>
      </c>
      <c r="M13" s="43">
        <v>2015</v>
      </c>
      <c r="N13" s="45">
        <f>'Full System Pop and Avg Day'!G32</f>
        <v>33.066967999999996</v>
      </c>
      <c r="O13" s="51">
        <f t="shared" ref="O13:O16" si="6">N13*1.83</f>
        <v>60.512551439999996</v>
      </c>
    </row>
    <row r="14" spans="1:15">
      <c r="A14" s="48">
        <v>5</v>
      </c>
      <c r="B14" s="43">
        <v>0.03</v>
      </c>
      <c r="C14" s="50">
        <v>1E-3</v>
      </c>
      <c r="D14" s="50">
        <v>1E-3</v>
      </c>
      <c r="E14" s="45">
        <f t="shared" si="0"/>
        <v>4.5060000000000003E-2</v>
      </c>
      <c r="F14" s="51">
        <f t="shared" si="1"/>
        <v>1.5020000000000002</v>
      </c>
      <c r="G14" s="45">
        <f t="shared" si="2"/>
        <v>4.4835820895522405E-3</v>
      </c>
      <c r="H14" s="134">
        <f t="shared" si="3"/>
        <v>1.5771000000000004</v>
      </c>
      <c r="I14" s="135">
        <f t="shared" si="4"/>
        <v>1.6522000000000003</v>
      </c>
      <c r="J14" s="50">
        <f>E14/E$16</f>
        <v>2.9850746268656721E-3</v>
      </c>
      <c r="K14" s="51">
        <f t="shared" si="5"/>
        <v>4.9319402985074645E-3</v>
      </c>
      <c r="M14" s="43">
        <v>2020</v>
      </c>
      <c r="N14" s="45">
        <f>'Full System Pop and Avg Day'!G33</f>
        <v>34.264325333333332</v>
      </c>
      <c r="O14" s="51">
        <f t="shared" si="6"/>
        <v>62.703715359999997</v>
      </c>
    </row>
    <row r="15" spans="1:15">
      <c r="A15" s="48" t="s">
        <v>8</v>
      </c>
      <c r="B15" s="43">
        <v>6.84</v>
      </c>
      <c r="C15" s="50">
        <v>0.26100000000000001</v>
      </c>
      <c r="D15" s="50">
        <v>0.28699999999999998</v>
      </c>
      <c r="E15" s="45">
        <f t="shared" si="0"/>
        <v>12.932219999999999</v>
      </c>
      <c r="F15" s="51">
        <f t="shared" si="1"/>
        <v>1.8906754385964912</v>
      </c>
      <c r="G15" s="45">
        <f t="shared" si="2"/>
        <v>1.6197726891856508</v>
      </c>
      <c r="H15" s="136">
        <f t="shared" si="3"/>
        <v>1.9852092105263159</v>
      </c>
      <c r="I15" s="137">
        <f t="shared" si="4"/>
        <v>2.0797429824561404</v>
      </c>
      <c r="J15" s="50">
        <f>E15/E$16</f>
        <v>0.85671641791044784</v>
      </c>
      <c r="K15" s="51">
        <f t="shared" si="5"/>
        <v>1.781749958104216</v>
      </c>
      <c r="M15" s="43">
        <v>2025</v>
      </c>
      <c r="N15" s="45">
        <f>'Full System Pop and Avg Day'!G34</f>
        <v>35.461682666666668</v>
      </c>
      <c r="O15" s="51">
        <f t="shared" si="6"/>
        <v>64.894879280000012</v>
      </c>
    </row>
    <row r="16" spans="1:15" s="52" customFormat="1" ht="16.5" thickBot="1">
      <c r="A16" s="138" t="s">
        <v>45</v>
      </c>
      <c r="B16" s="153">
        <f>SUM(B12:B15)</f>
        <v>8.1199999999999992</v>
      </c>
      <c r="C16" s="154">
        <f>SUM(C12:C15)</f>
        <v>0.31</v>
      </c>
      <c r="D16" s="154">
        <f>SUM(D12:D15)</f>
        <v>0.33499999999999996</v>
      </c>
      <c r="E16" s="155">
        <f>SUM(E12:E15)</f>
        <v>15.095099999999999</v>
      </c>
      <c r="F16" s="153"/>
      <c r="G16" s="139">
        <f>SUM(G12:G15)</f>
        <v>1.8638456236533614</v>
      </c>
      <c r="H16" s="153"/>
      <c r="I16" s="153"/>
      <c r="J16" s="154">
        <f>SUM(J12:J15)</f>
        <v>1</v>
      </c>
      <c r="K16" s="139">
        <f>SUM(K12:K15)</f>
        <v>2.0502301860186978</v>
      </c>
      <c r="L16" s="153"/>
      <c r="M16" s="153">
        <v>2030</v>
      </c>
      <c r="N16" s="155">
        <f>'Full System Pop and Avg Day'!G35</f>
        <v>36.769040000000004</v>
      </c>
      <c r="O16" s="139">
        <f t="shared" si="6"/>
        <v>67.287343200000009</v>
      </c>
    </row>
    <row r="17" spans="1:8" ht="16.5" thickTop="1">
      <c r="C17" s="50"/>
      <c r="D17" s="49"/>
    </row>
    <row r="20" spans="1:8" s="54" customFormat="1" ht="19.5" thickBot="1">
      <c r="A20" s="158" t="s">
        <v>65</v>
      </c>
      <c r="B20" s="159"/>
      <c r="C20" s="159"/>
      <c r="D20" s="159"/>
      <c r="E20" s="159"/>
      <c r="F20" s="159"/>
    </row>
    <row r="21" spans="1:8" s="52" customFormat="1">
      <c r="A21" s="53" t="s">
        <v>46</v>
      </c>
      <c r="B21" s="52">
        <v>2010</v>
      </c>
      <c r="C21" s="52">
        <v>2015</v>
      </c>
      <c r="D21" s="52">
        <v>2020</v>
      </c>
      <c r="E21" s="52">
        <v>2025</v>
      </c>
      <c r="F21" s="52">
        <v>2030</v>
      </c>
    </row>
    <row r="22" spans="1:8">
      <c r="A22" s="48">
        <v>1</v>
      </c>
      <c r="B22" s="51">
        <f>N$12*$C12</f>
        <v>0.39661086080000002</v>
      </c>
      <c r="C22" s="51">
        <f>$N$13*$C12</f>
        <v>0.46293755199999997</v>
      </c>
      <c r="D22" s="51">
        <f>$N$14*$C12</f>
        <v>0.47970055466666667</v>
      </c>
      <c r="E22" s="51">
        <f>$N$15*$C12</f>
        <v>0.49646355733333336</v>
      </c>
      <c r="F22" s="51">
        <f>$N$16*$C12</f>
        <v>0.5147665600000001</v>
      </c>
    </row>
    <row r="23" spans="1:8">
      <c r="A23" s="48" t="s">
        <v>40</v>
      </c>
      <c r="B23" s="51">
        <f t="shared" ref="B23:B25" si="7">N$12*$C13</f>
        <v>0.96319780480000006</v>
      </c>
      <c r="C23" s="51">
        <f t="shared" ref="C23:C25" si="8">$N$13*$C13</f>
        <v>1.124276912</v>
      </c>
      <c r="D23" s="51">
        <f t="shared" ref="D23:D25" si="9">$N$14*$C13</f>
        <v>1.1649870613333333</v>
      </c>
      <c r="E23" s="51">
        <f t="shared" ref="E23:E25" si="10">$N$15*$C13</f>
        <v>1.2056972106666668</v>
      </c>
      <c r="F23" s="51">
        <f t="shared" ref="F23:F25" si="11">$N$16*$C13</f>
        <v>1.2501473600000002</v>
      </c>
    </row>
    <row r="24" spans="1:8">
      <c r="A24" s="48">
        <v>5</v>
      </c>
      <c r="B24" s="51">
        <f t="shared" si="7"/>
        <v>2.83293472E-2</v>
      </c>
      <c r="C24" s="51">
        <f t="shared" si="8"/>
        <v>3.3066967999999995E-2</v>
      </c>
      <c r="D24" s="51">
        <f t="shared" si="9"/>
        <v>3.4264325333333331E-2</v>
      </c>
      <c r="E24" s="51">
        <f t="shared" si="10"/>
        <v>3.5461682666666668E-2</v>
      </c>
      <c r="F24" s="51">
        <f t="shared" si="11"/>
        <v>3.6769040000000003E-2</v>
      </c>
    </row>
    <row r="25" spans="1:8">
      <c r="A25" s="48" t="s">
        <v>8</v>
      </c>
      <c r="B25" s="51">
        <f t="shared" si="7"/>
        <v>7.3939596192000003</v>
      </c>
      <c r="C25" s="51">
        <f t="shared" si="8"/>
        <v>8.6304786479999986</v>
      </c>
      <c r="D25" s="51">
        <f t="shared" si="9"/>
        <v>8.9429889120000006</v>
      </c>
      <c r="E25" s="51">
        <f t="shared" si="10"/>
        <v>9.2554991760000007</v>
      </c>
      <c r="F25" s="51">
        <f t="shared" si="11"/>
        <v>9.5967194400000011</v>
      </c>
    </row>
    <row r="26" spans="1:8" s="52" customFormat="1" ht="16.5" thickBot="1">
      <c r="A26" s="138" t="s">
        <v>41</v>
      </c>
      <c r="B26" s="139">
        <f>SUM(B22:B25)</f>
        <v>8.782097632000001</v>
      </c>
      <c r="C26" s="139">
        <f t="shared" ref="C26:F26" si="12">SUM(C22:C25)</f>
        <v>10.250760079999999</v>
      </c>
      <c r="D26" s="139">
        <f t="shared" si="12"/>
        <v>10.621940853333333</v>
      </c>
      <c r="E26" s="139">
        <f t="shared" si="12"/>
        <v>10.993121626666667</v>
      </c>
      <c r="F26" s="139">
        <f t="shared" si="12"/>
        <v>11.398402400000002</v>
      </c>
    </row>
    <row r="27" spans="1:8" ht="16.5" thickTop="1"/>
    <row r="28" spans="1:8" s="54" customFormat="1" ht="19.5" thickBot="1">
      <c r="A28" s="158" t="s">
        <v>86</v>
      </c>
      <c r="B28" s="159"/>
      <c r="C28" s="159"/>
      <c r="D28" s="159"/>
      <c r="E28" s="159"/>
      <c r="F28" s="159"/>
    </row>
    <row r="29" spans="1:8">
      <c r="A29" s="53" t="s">
        <v>46</v>
      </c>
      <c r="B29" s="52">
        <v>2010</v>
      </c>
      <c r="C29" s="52">
        <v>2015</v>
      </c>
      <c r="D29" s="52">
        <v>2020</v>
      </c>
      <c r="E29" s="52">
        <v>2025</v>
      </c>
      <c r="F29" s="52">
        <v>2030</v>
      </c>
      <c r="G29" s="52"/>
      <c r="H29" s="52"/>
    </row>
    <row r="30" spans="1:8">
      <c r="A30" s="48">
        <v>1</v>
      </c>
      <c r="B30" s="51">
        <f>B22*$F12</f>
        <v>0.57960925581561096</v>
      </c>
      <c r="C30" s="51">
        <f t="shared" ref="C30:F30" si="13">C22*$F12</f>
        <v>0.67653944085794604</v>
      </c>
      <c r="D30" s="51">
        <f t="shared" si="13"/>
        <v>0.70103698356583799</v>
      </c>
      <c r="E30" s="51">
        <f t="shared" si="13"/>
        <v>0.72553452627372994</v>
      </c>
      <c r="F30" s="51">
        <f t="shared" si="13"/>
        <v>0.75228263330594625</v>
      </c>
    </row>
    <row r="31" spans="1:8">
      <c r="A31" s="48" t="s">
        <v>40</v>
      </c>
      <c r="B31" s="51">
        <f t="shared" ref="B31:F33" si="14">B23*$F13</f>
        <v>1.7262037022160004</v>
      </c>
      <c r="C31" s="51">
        <f t="shared" si="14"/>
        <v>2.0148830885400004</v>
      </c>
      <c r="D31" s="51">
        <f t="shared" si="14"/>
        <v>2.0878421527600004</v>
      </c>
      <c r="E31" s="51">
        <f t="shared" si="14"/>
        <v>2.1608012169800004</v>
      </c>
      <c r="F31" s="51">
        <f t="shared" si="14"/>
        <v>2.2404629562000005</v>
      </c>
    </row>
    <row r="32" spans="1:8">
      <c r="A32" s="48">
        <v>5</v>
      </c>
      <c r="B32" s="51">
        <f t="shared" si="14"/>
        <v>4.2550679494400008E-2</v>
      </c>
      <c r="C32" s="51">
        <f t="shared" si="14"/>
        <v>4.9666585935999999E-2</v>
      </c>
      <c r="D32" s="51">
        <f t="shared" si="14"/>
        <v>5.1465016650666669E-2</v>
      </c>
      <c r="E32" s="51">
        <f t="shared" si="14"/>
        <v>5.3263447365333345E-2</v>
      </c>
      <c r="F32" s="51">
        <f t="shared" si="14"/>
        <v>5.5227098080000016E-2</v>
      </c>
    </row>
    <row r="33" spans="1:8">
      <c r="A33" s="48" t="s">
        <v>8</v>
      </c>
      <c r="B33" s="51">
        <f t="shared" si="14"/>
        <v>13.979577845995706</v>
      </c>
      <c r="C33" s="51">
        <f t="shared" si="14"/>
        <v>16.317434003105049</v>
      </c>
      <c r="D33" s="51">
        <f t="shared" si="14"/>
        <v>16.908289483559159</v>
      </c>
      <c r="E33" s="51">
        <f t="shared" si="14"/>
        <v>17.499144964013265</v>
      </c>
      <c r="F33" s="51">
        <f t="shared" si="14"/>
        <v>18.144281736309477</v>
      </c>
    </row>
    <row r="34" spans="1:8" ht="16.5" thickBot="1">
      <c r="A34" s="138" t="s">
        <v>54</v>
      </c>
      <c r="B34" s="139">
        <f>SUM(B30:B33)</f>
        <v>16.32794148352172</v>
      </c>
      <c r="C34" s="139">
        <f t="shared" ref="C34:F34" si="15">SUM(C30:C33)</f>
        <v>19.058523118438995</v>
      </c>
      <c r="D34" s="139">
        <f t="shared" si="15"/>
        <v>19.748633636535665</v>
      </c>
      <c r="E34" s="139">
        <f t="shared" si="15"/>
        <v>20.438744154632328</v>
      </c>
      <c r="F34" s="139">
        <f t="shared" si="15"/>
        <v>21.192254423895424</v>
      </c>
      <c r="G34" s="52"/>
      <c r="H34" s="52"/>
    </row>
    <row r="35" spans="1:8" ht="16.5" thickTop="1">
      <c r="A35" s="43"/>
    </row>
    <row r="36" spans="1:8">
      <c r="A36" s="43"/>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pageSetUpPr fitToPage="1"/>
  </sheetPr>
  <dimension ref="A1:V45"/>
  <sheetViews>
    <sheetView zoomScale="90" zoomScaleNormal="90" workbookViewId="0">
      <selection activeCell="R7" sqref="R7"/>
    </sheetView>
  </sheetViews>
  <sheetFormatPr defaultRowHeight="15.75"/>
  <cols>
    <col min="1" max="1" width="28.85546875" style="43" customWidth="1"/>
    <col min="2" max="2" width="9.140625" style="43"/>
    <col min="3" max="3" width="8.85546875" style="43" customWidth="1"/>
    <col min="4" max="4" width="9.140625" style="43"/>
    <col min="5" max="5" width="10.28515625" style="43" bestFit="1" customWidth="1"/>
    <col min="6" max="17" width="9.140625" style="43"/>
    <col min="18" max="18" width="41.42578125" style="43" bestFit="1" customWidth="1"/>
    <col min="19" max="16384" width="9.140625" style="43"/>
  </cols>
  <sheetData>
    <row r="1" spans="1:18" ht="32.25" customHeight="1">
      <c r="A1" s="161" t="s">
        <v>96</v>
      </c>
    </row>
    <row r="10" spans="1:18" s="73" customFormat="1" ht="23.25">
      <c r="A10" s="171" t="s">
        <v>89</v>
      </c>
      <c r="B10" s="171"/>
      <c r="C10" s="171"/>
      <c r="D10" s="171"/>
      <c r="E10" s="171"/>
      <c r="F10" s="171"/>
      <c r="G10" s="171"/>
      <c r="H10" s="171"/>
      <c r="I10" s="171"/>
      <c r="J10" s="171"/>
      <c r="K10" s="171"/>
      <c r="L10" s="171"/>
      <c r="M10" s="171"/>
      <c r="N10" s="171"/>
      <c r="O10" s="171"/>
      <c r="P10" s="171"/>
      <c r="Q10" s="171"/>
    </row>
    <row r="11" spans="1:18" ht="16.5" thickBot="1"/>
    <row r="12" spans="1:18" s="52" customFormat="1" ht="16.5" customHeight="1" thickTop="1" thickBot="1">
      <c r="A12" s="55" t="s">
        <v>3</v>
      </c>
      <c r="B12" s="89"/>
      <c r="C12" s="172">
        <v>2010</v>
      </c>
      <c r="D12" s="173"/>
      <c r="E12" s="174"/>
      <c r="F12" s="172">
        <v>2015</v>
      </c>
      <c r="G12" s="173"/>
      <c r="H12" s="174"/>
      <c r="I12" s="172">
        <v>2020</v>
      </c>
      <c r="J12" s="173"/>
      <c r="K12" s="174"/>
      <c r="L12" s="172">
        <v>2025</v>
      </c>
      <c r="M12" s="173"/>
      <c r="N12" s="174"/>
      <c r="O12" s="172">
        <v>2030</v>
      </c>
      <c r="P12" s="173"/>
      <c r="Q12" s="174"/>
    </row>
    <row r="13" spans="1:18" s="57" customFormat="1" ht="16.5" thickTop="1">
      <c r="A13" s="167"/>
      <c r="B13" s="168"/>
      <c r="C13" s="96" t="s">
        <v>24</v>
      </c>
      <c r="D13" s="56" t="s">
        <v>57</v>
      </c>
      <c r="E13" s="97" t="s">
        <v>26</v>
      </c>
      <c r="F13" s="96" t="s">
        <v>24</v>
      </c>
      <c r="G13" s="56" t="s">
        <v>57</v>
      </c>
      <c r="H13" s="97" t="s">
        <v>26</v>
      </c>
      <c r="I13" s="96" t="s">
        <v>24</v>
      </c>
      <c r="J13" s="56" t="s">
        <v>57</v>
      </c>
      <c r="K13" s="97" t="s">
        <v>26</v>
      </c>
      <c r="L13" s="96" t="s">
        <v>24</v>
      </c>
      <c r="M13" s="56" t="s">
        <v>57</v>
      </c>
      <c r="N13" s="97" t="s">
        <v>26</v>
      </c>
      <c r="O13" s="96" t="s">
        <v>24</v>
      </c>
      <c r="P13" s="56" t="s">
        <v>57</v>
      </c>
      <c r="Q13" s="97" t="s">
        <v>26</v>
      </c>
    </row>
    <row r="14" spans="1:18" s="52" customFormat="1" ht="39" customHeight="1">
      <c r="A14" s="175" t="s">
        <v>58</v>
      </c>
      <c r="B14" s="176"/>
      <c r="C14" s="100">
        <f>'Low Maximum Day by Zone'!B26</f>
        <v>8.782097632000001</v>
      </c>
      <c r="D14" s="59">
        <f>'Median Maximum Day by Zone'!B26</f>
        <v>8.782097632000001</v>
      </c>
      <c r="E14" s="101">
        <f>'High Maximum Day by Zone'!B26</f>
        <v>8.782097632000001</v>
      </c>
      <c r="F14" s="100">
        <f>'Low Maximum Day by Zone'!C26</f>
        <v>9.0169407608000007</v>
      </c>
      <c r="G14" s="59">
        <f>'Median Maximum Day by Zone'!C26</f>
        <v>9.4776568460000004</v>
      </c>
      <c r="H14" s="101">
        <f>'High Maximum Day by Zone'!C26</f>
        <v>10.250760079999999</v>
      </c>
      <c r="I14" s="100">
        <f>'Low Maximum Day by Zone'!D26</f>
        <v>8.8718587189333338</v>
      </c>
      <c r="J14" s="59">
        <f>'Median Maximum Day by Zone'!D26</f>
        <v>9.6020551381333359</v>
      </c>
      <c r="K14" s="101">
        <f>'High Maximum Day by Zone'!D26</f>
        <v>10.621940853333333</v>
      </c>
      <c r="L14" s="100">
        <f>'Low Maximum Day by Zone'!E26</f>
        <v>9.1918704954666701</v>
      </c>
      <c r="M14" s="59">
        <f>'Median Maximum Day by Zone'!E26</f>
        <v>9.9425898570666682</v>
      </c>
      <c r="N14" s="101">
        <f>'High Maximum Day by Zone'!E26</f>
        <v>10.993121626666667</v>
      </c>
      <c r="O14" s="100">
        <f>'Low Maximum Day by Zone'!F26</f>
        <v>9.5118822720000011</v>
      </c>
      <c r="P14" s="59">
        <f>'Median Maximum Day by Zone'!F26</f>
        <v>10.283124576000001</v>
      </c>
      <c r="Q14" s="101">
        <f>'High Maximum Day by Zone'!F26</f>
        <v>11.398402400000002</v>
      </c>
    </row>
    <row r="15" spans="1:18">
      <c r="A15" s="177"/>
      <c r="B15" s="178"/>
      <c r="C15" s="98"/>
      <c r="D15" s="58"/>
      <c r="E15" s="99"/>
      <c r="F15" s="98"/>
      <c r="G15" s="58"/>
      <c r="H15" s="99"/>
      <c r="I15" s="98"/>
      <c r="J15" s="58"/>
      <c r="K15" s="99"/>
      <c r="L15" s="98"/>
      <c r="M15" s="58"/>
      <c r="N15" s="99"/>
      <c r="O15" s="98"/>
      <c r="P15" s="58"/>
      <c r="Q15" s="99"/>
    </row>
    <row r="16" spans="1:18">
      <c r="A16" s="177"/>
      <c r="B16" s="178"/>
      <c r="C16" s="98"/>
      <c r="D16" s="58"/>
      <c r="E16" s="99"/>
      <c r="F16" s="98"/>
      <c r="G16" s="58"/>
      <c r="H16" s="99"/>
      <c r="I16" s="98"/>
      <c r="J16" s="58"/>
      <c r="K16" s="99"/>
      <c r="L16" s="98"/>
      <c r="M16" s="58"/>
      <c r="N16" s="99"/>
      <c r="O16" s="98"/>
      <c r="P16" s="58"/>
      <c r="Q16" s="99"/>
      <c r="R16" s="156" t="s">
        <v>72</v>
      </c>
    </row>
    <row r="17" spans="1:22" ht="30.75" customHeight="1">
      <c r="A17" s="179" t="s">
        <v>71</v>
      </c>
      <c r="B17" s="180"/>
      <c r="C17" s="98">
        <f>'Low Maximum Day by Zone'!B34*R17</f>
        <v>13.715470846158244</v>
      </c>
      <c r="D17" s="58">
        <f>'Median Maximum Day by Zone'!B34*R17</f>
        <v>13.715470846158244</v>
      </c>
      <c r="E17" s="99">
        <f>'High Maximum Day by Zone'!B34*R17</f>
        <v>13.715470846158244</v>
      </c>
      <c r="F17" s="98">
        <f>'Low Maximum Day by Zone'!C34*R17</f>
        <v>14.786349796367505</v>
      </c>
      <c r="G17" s="58">
        <f>'Median Maximum Day by Zone'!C34*R17</f>
        <v>15.541850955052709</v>
      </c>
      <c r="H17" s="99">
        <f>'High Maximum Day by Zone'!C34*R17</f>
        <v>16.009159419488753</v>
      </c>
      <c r="I17" s="98">
        <f>'Low Maximum Day by Zone'!D34*R17</f>
        <v>15.241221081865723</v>
      </c>
      <c r="J17" s="58">
        <f>'Median Maximum Day by Zone'!D34*R17</f>
        <v>15.745844383683265</v>
      </c>
      <c r="K17" s="99">
        <f>'High Maximum Day by Zone'!D34*R17</f>
        <v>16.588852254689957</v>
      </c>
      <c r="L17" s="98">
        <f>'Low Maximum Day by Zone'!E34*R17</f>
        <v>15.790978510321663</v>
      </c>
      <c r="M17" s="58">
        <f>'Median Maximum Day by Zone'!E34*R17</f>
        <v>16.30426720196839</v>
      </c>
      <c r="N17" s="99">
        <f>'High Maximum Day by Zone'!E34*R17</f>
        <v>17.168545089891154</v>
      </c>
      <c r="O17" s="98">
        <f>'Low Maximum Day by Zone'!F34*R17</f>
        <v>16.340735938777591</v>
      </c>
      <c r="P17" s="58">
        <f>'Median Maximum Day by Zone'!F34*R17</f>
        <v>16.862690020253513</v>
      </c>
      <c r="Q17" s="99">
        <f>'High Maximum Day by Zone'!F34*R17</f>
        <v>17.801493716072155</v>
      </c>
      <c r="R17" s="87">
        <v>0.84</v>
      </c>
      <c r="T17" s="88"/>
      <c r="U17" s="88"/>
      <c r="V17" s="88"/>
    </row>
    <row r="18" spans="1:22">
      <c r="A18" s="169" t="s">
        <v>60</v>
      </c>
      <c r="B18" s="170"/>
      <c r="C18" s="98">
        <v>0</v>
      </c>
      <c r="D18" s="58">
        <v>0</v>
      </c>
      <c r="E18" s="99">
        <v>0</v>
      </c>
      <c r="F18" s="98">
        <v>0</v>
      </c>
      <c r="G18" s="58">
        <v>0.84</v>
      </c>
      <c r="H18" s="99">
        <v>0.84</v>
      </c>
      <c r="I18" s="98">
        <v>0</v>
      </c>
      <c r="J18" s="58">
        <v>0.84</v>
      </c>
      <c r="K18" s="99">
        <v>0.84</v>
      </c>
      <c r="L18" s="98">
        <v>0</v>
      </c>
      <c r="M18" s="58">
        <v>0.84</v>
      </c>
      <c r="N18" s="99">
        <v>0.84</v>
      </c>
      <c r="O18" s="98">
        <v>0</v>
      </c>
      <c r="P18" s="58">
        <v>0.84</v>
      </c>
      <c r="Q18" s="99">
        <v>0.84</v>
      </c>
    </row>
    <row r="19" spans="1:22">
      <c r="A19" s="181" t="s">
        <v>54</v>
      </c>
      <c r="B19" s="182"/>
      <c r="C19" s="100">
        <f>SUM(C17:C18)</f>
        <v>13.715470846158244</v>
      </c>
      <c r="D19" s="59">
        <f t="shared" ref="D19:E19" si="0">SUM(D17:D18)</f>
        <v>13.715470846158244</v>
      </c>
      <c r="E19" s="101">
        <f t="shared" si="0"/>
        <v>13.715470846158244</v>
      </c>
      <c r="F19" s="100">
        <f>SUM(F17:F18)</f>
        <v>14.786349796367505</v>
      </c>
      <c r="G19" s="59">
        <f t="shared" ref="G19:H19" si="1">SUM(G17:G18)</f>
        <v>16.381850955052709</v>
      </c>
      <c r="H19" s="101">
        <f t="shared" si="1"/>
        <v>16.849159419488753</v>
      </c>
      <c r="I19" s="100">
        <f>SUM(I17:I18)</f>
        <v>15.241221081865723</v>
      </c>
      <c r="J19" s="59">
        <f t="shared" ref="J19:K19" si="2">SUM(J17:J18)</f>
        <v>16.585844383683266</v>
      </c>
      <c r="K19" s="101">
        <f t="shared" si="2"/>
        <v>17.428852254689957</v>
      </c>
      <c r="L19" s="100">
        <f>SUM(L17:L18)</f>
        <v>15.790978510321663</v>
      </c>
      <c r="M19" s="59">
        <f t="shared" ref="M19:N19" si="3">SUM(M17:M18)</f>
        <v>17.14426720196839</v>
      </c>
      <c r="N19" s="101">
        <f t="shared" si="3"/>
        <v>18.008545089891154</v>
      </c>
      <c r="O19" s="100">
        <f>SUM(O17:O18)</f>
        <v>16.340735938777591</v>
      </c>
      <c r="P19" s="59">
        <f t="shared" ref="P19:Q19" si="4">SUM(P17:P18)</f>
        <v>17.702690020253513</v>
      </c>
      <c r="Q19" s="101">
        <f t="shared" si="4"/>
        <v>18.641493716072155</v>
      </c>
    </row>
    <row r="20" spans="1:22" ht="16.5" thickBot="1">
      <c r="A20" s="183"/>
      <c r="B20" s="184"/>
      <c r="C20" s="102"/>
      <c r="D20" s="60"/>
      <c r="E20" s="103"/>
      <c r="F20" s="102"/>
      <c r="G20" s="60"/>
      <c r="H20" s="103"/>
      <c r="I20" s="102"/>
      <c r="J20" s="60"/>
      <c r="K20" s="103"/>
      <c r="L20" s="102"/>
      <c r="M20" s="60"/>
      <c r="N20" s="103"/>
      <c r="O20" s="102"/>
      <c r="P20" s="60"/>
      <c r="Q20" s="103"/>
    </row>
    <row r="21" spans="1:22" ht="20.25" thickTop="1" thickBot="1">
      <c r="A21" s="61"/>
      <c r="C21" s="104"/>
      <c r="D21" s="67"/>
      <c r="E21" s="105"/>
      <c r="F21" s="104"/>
      <c r="G21" s="67"/>
      <c r="H21" s="105"/>
      <c r="I21" s="104"/>
      <c r="J21" s="67"/>
      <c r="K21" s="105"/>
      <c r="L21" s="104"/>
      <c r="M21" s="67"/>
      <c r="N21" s="105"/>
      <c r="O21" s="104"/>
      <c r="P21" s="67"/>
      <c r="Q21" s="105"/>
      <c r="R21" s="146" t="s">
        <v>74</v>
      </c>
    </row>
    <row r="22" spans="1:22" ht="30" customHeight="1" thickTop="1" thickBot="1">
      <c r="A22" s="62" t="s">
        <v>46</v>
      </c>
      <c r="B22" s="90" t="s">
        <v>1</v>
      </c>
      <c r="C22" s="106" t="s">
        <v>2</v>
      </c>
      <c r="D22" s="63" t="s">
        <v>2</v>
      </c>
      <c r="E22" s="107" t="s">
        <v>2</v>
      </c>
      <c r="F22" s="106" t="s">
        <v>2</v>
      </c>
      <c r="G22" s="63" t="s">
        <v>2</v>
      </c>
      <c r="H22" s="107" t="s">
        <v>2</v>
      </c>
      <c r="I22" s="106" t="s">
        <v>2</v>
      </c>
      <c r="J22" s="63" t="s">
        <v>2</v>
      </c>
      <c r="K22" s="107" t="s">
        <v>2</v>
      </c>
      <c r="L22" s="106" t="s">
        <v>2</v>
      </c>
      <c r="M22" s="63" t="s">
        <v>2</v>
      </c>
      <c r="N22" s="107" t="s">
        <v>2</v>
      </c>
      <c r="O22" s="106" t="s">
        <v>2</v>
      </c>
      <c r="P22" s="63" t="s">
        <v>2</v>
      </c>
      <c r="Q22" s="107" t="s">
        <v>2</v>
      </c>
      <c r="R22" s="129">
        <v>0.5</v>
      </c>
      <c r="T22" s="34"/>
      <c r="U22" s="34"/>
    </row>
    <row r="23" spans="1:22" ht="16.5" thickTop="1">
      <c r="A23" s="64"/>
      <c r="B23" s="91"/>
      <c r="C23" s="108"/>
      <c r="D23" s="83"/>
      <c r="E23" s="109"/>
      <c r="F23" s="108"/>
      <c r="G23" s="83"/>
      <c r="H23" s="109"/>
      <c r="I23" s="108"/>
      <c r="J23" s="83"/>
      <c r="K23" s="109"/>
      <c r="L23" s="108"/>
      <c r="M23" s="83"/>
      <c r="N23" s="109"/>
      <c r="O23" s="108"/>
      <c r="P23" s="83"/>
      <c r="Q23" s="109"/>
    </row>
    <row r="24" spans="1:22">
      <c r="A24" s="65" t="s">
        <v>67</v>
      </c>
      <c r="B24" s="92">
        <v>25</v>
      </c>
      <c r="C24" s="110">
        <v>1.5</v>
      </c>
      <c r="D24" s="84">
        <v>1.5</v>
      </c>
      <c r="E24" s="111">
        <v>1.5</v>
      </c>
      <c r="F24" s="110">
        <v>1.5</v>
      </c>
      <c r="G24" s="84">
        <v>1.5</v>
      </c>
      <c r="H24" s="111">
        <v>1.5</v>
      </c>
      <c r="I24" s="110">
        <v>1.5</v>
      </c>
      <c r="J24" s="84">
        <v>1.5</v>
      </c>
      <c r="K24" s="111">
        <v>1.5</v>
      </c>
      <c r="L24" s="110">
        <v>1.5</v>
      </c>
      <c r="M24" s="84">
        <v>1.5</v>
      </c>
      <c r="N24" s="111">
        <v>1.5</v>
      </c>
      <c r="O24" s="110">
        <v>1.5</v>
      </c>
      <c r="P24" s="84">
        <v>1.5</v>
      </c>
      <c r="Q24" s="111">
        <v>1.5</v>
      </c>
    </row>
    <row r="25" spans="1:22">
      <c r="A25" s="65">
        <v>5</v>
      </c>
      <c r="B25" s="92" t="s">
        <v>9</v>
      </c>
      <c r="C25" s="110"/>
      <c r="D25" s="84"/>
      <c r="E25" s="111"/>
      <c r="F25" s="110"/>
      <c r="G25" s="84"/>
      <c r="H25" s="111"/>
      <c r="I25" s="110"/>
      <c r="J25" s="84"/>
      <c r="K25" s="111"/>
      <c r="L25" s="110"/>
      <c r="M25" s="84"/>
      <c r="N25" s="111"/>
      <c r="O25" s="110"/>
      <c r="P25" s="84"/>
      <c r="Q25" s="111"/>
    </row>
    <row r="26" spans="1:22">
      <c r="A26" s="65" t="s">
        <v>8</v>
      </c>
      <c r="B26" s="92">
        <v>7</v>
      </c>
      <c r="C26" s="110">
        <v>1.5</v>
      </c>
      <c r="D26" s="84">
        <v>1.5</v>
      </c>
      <c r="E26" s="111">
        <v>1.5</v>
      </c>
      <c r="F26" s="110">
        <v>1.5</v>
      </c>
      <c r="G26" s="84">
        <v>1.5</v>
      </c>
      <c r="H26" s="111">
        <v>1.5</v>
      </c>
      <c r="I26" s="110">
        <v>1.5</v>
      </c>
      <c r="J26" s="84">
        <v>1.5</v>
      </c>
      <c r="K26" s="111">
        <v>1.5</v>
      </c>
      <c r="L26" s="110">
        <v>1.5</v>
      </c>
      <c r="M26" s="84">
        <v>1.5</v>
      </c>
      <c r="N26" s="111">
        <v>1.5</v>
      </c>
      <c r="O26" s="110">
        <v>1.5</v>
      </c>
      <c r="P26" s="84">
        <v>1.5</v>
      </c>
      <c r="Q26" s="111">
        <v>1.5</v>
      </c>
    </row>
    <row r="27" spans="1:22">
      <c r="A27" s="66"/>
      <c r="B27" s="92">
        <v>8</v>
      </c>
      <c r="C27" s="110"/>
      <c r="D27" s="84"/>
      <c r="E27" s="111"/>
      <c r="F27" s="110"/>
      <c r="G27" s="84"/>
      <c r="H27" s="111"/>
      <c r="I27" s="110"/>
      <c r="J27" s="84"/>
      <c r="K27" s="111"/>
      <c r="L27" s="110"/>
      <c r="M27" s="84"/>
      <c r="N27" s="111"/>
      <c r="O27" s="110"/>
      <c r="P27" s="84"/>
      <c r="Q27" s="111"/>
      <c r="R27" s="88" t="s">
        <v>78</v>
      </c>
    </row>
    <row r="28" spans="1:22">
      <c r="A28" s="66"/>
      <c r="B28" s="92">
        <v>11</v>
      </c>
      <c r="C28" s="110">
        <v>1.5</v>
      </c>
      <c r="D28" s="84">
        <v>1.5</v>
      </c>
      <c r="E28" s="111">
        <v>1.5</v>
      </c>
      <c r="F28" s="110">
        <v>1.5</v>
      </c>
      <c r="G28" s="84">
        <v>1.5</v>
      </c>
      <c r="H28" s="111">
        <v>1.5</v>
      </c>
      <c r="I28" s="110">
        <v>1.5</v>
      </c>
      <c r="J28" s="84">
        <v>1.5</v>
      </c>
      <c r="K28" s="111">
        <v>1.5</v>
      </c>
      <c r="L28" s="110">
        <v>1.5</v>
      </c>
      <c r="M28" s="84">
        <v>1.5</v>
      </c>
      <c r="N28" s="111">
        <v>1.5</v>
      </c>
      <c r="O28" s="110">
        <v>1.5</v>
      </c>
      <c r="P28" s="84">
        <v>1.5</v>
      </c>
      <c r="Q28" s="111">
        <v>1.5</v>
      </c>
    </row>
    <row r="29" spans="1:22">
      <c r="A29" s="66"/>
      <c r="B29" s="92">
        <v>13</v>
      </c>
      <c r="C29" s="110">
        <v>1.5</v>
      </c>
      <c r="D29" s="84">
        <v>1.5</v>
      </c>
      <c r="E29" s="111">
        <v>1.5</v>
      </c>
      <c r="F29" s="110">
        <v>1.5</v>
      </c>
      <c r="G29" s="84">
        <v>1.5</v>
      </c>
      <c r="H29" s="111">
        <v>1.5</v>
      </c>
      <c r="I29" s="110">
        <v>1.5</v>
      </c>
      <c r="J29" s="84">
        <v>1.5</v>
      </c>
      <c r="K29" s="111">
        <v>1.5</v>
      </c>
      <c r="L29" s="110">
        <v>1.5</v>
      </c>
      <c r="M29" s="84">
        <v>1.5</v>
      </c>
      <c r="N29" s="111">
        <v>1.5</v>
      </c>
      <c r="O29" s="110">
        <v>1.5</v>
      </c>
      <c r="P29" s="84">
        <v>1.5</v>
      </c>
      <c r="Q29" s="111">
        <v>1.5</v>
      </c>
    </row>
    <row r="30" spans="1:22">
      <c r="A30" s="66"/>
      <c r="B30" s="92">
        <v>15</v>
      </c>
      <c r="C30" s="110">
        <v>1.5</v>
      </c>
      <c r="D30" s="84">
        <v>1.5</v>
      </c>
      <c r="E30" s="111">
        <v>1.5</v>
      </c>
      <c r="F30" s="110">
        <v>1.5</v>
      </c>
      <c r="G30" s="84">
        <v>1.5</v>
      </c>
      <c r="H30" s="111">
        <v>1.5</v>
      </c>
      <c r="I30" s="110">
        <v>1.5</v>
      </c>
      <c r="J30" s="84">
        <v>1.5</v>
      </c>
      <c r="K30" s="111">
        <v>1.5</v>
      </c>
      <c r="L30" s="110">
        <v>1.5</v>
      </c>
      <c r="M30" s="84">
        <v>1.5</v>
      </c>
      <c r="N30" s="111">
        <v>1.5</v>
      </c>
      <c r="O30" s="110">
        <v>1.5</v>
      </c>
      <c r="P30" s="84">
        <v>1.5</v>
      </c>
      <c r="Q30" s="111">
        <v>1.5</v>
      </c>
    </row>
    <row r="31" spans="1:22">
      <c r="A31" s="66"/>
      <c r="B31" s="92">
        <v>23</v>
      </c>
      <c r="C31" s="110"/>
      <c r="D31" s="84"/>
      <c r="E31" s="111"/>
      <c r="F31" s="110"/>
      <c r="G31" s="84"/>
      <c r="H31" s="111"/>
      <c r="I31" s="110"/>
      <c r="J31" s="84"/>
      <c r="K31" s="111"/>
      <c r="L31" s="110"/>
      <c r="M31" s="84"/>
      <c r="N31" s="111"/>
      <c r="O31" s="110"/>
      <c r="P31" s="84"/>
      <c r="Q31" s="111"/>
      <c r="R31" s="88" t="s">
        <v>78</v>
      </c>
    </row>
    <row r="32" spans="1:22">
      <c r="A32" s="66"/>
      <c r="B32" s="92">
        <v>29</v>
      </c>
      <c r="C32" s="110">
        <v>1.5</v>
      </c>
      <c r="D32" s="84">
        <v>1.5</v>
      </c>
      <c r="E32" s="111">
        <v>1.5</v>
      </c>
      <c r="F32" s="110">
        <v>1.5</v>
      </c>
      <c r="G32" s="84">
        <v>1.5</v>
      </c>
      <c r="H32" s="111">
        <v>1.5</v>
      </c>
      <c r="I32" s="110">
        <v>1.5</v>
      </c>
      <c r="J32" s="84">
        <v>1.5</v>
      </c>
      <c r="K32" s="111">
        <v>1.5</v>
      </c>
      <c r="L32" s="110">
        <v>1.5</v>
      </c>
      <c r="M32" s="84">
        <v>1.5</v>
      </c>
      <c r="N32" s="111">
        <v>1.5</v>
      </c>
      <c r="O32" s="110">
        <v>1.5</v>
      </c>
      <c r="P32" s="84">
        <v>1.5</v>
      </c>
      <c r="Q32" s="111">
        <v>1.5</v>
      </c>
      <c r="R32" s="43" t="s">
        <v>75</v>
      </c>
    </row>
    <row r="33" spans="1:18">
      <c r="A33" s="66"/>
      <c r="B33" s="93"/>
      <c r="C33" s="110"/>
      <c r="D33" s="84"/>
      <c r="E33" s="111"/>
      <c r="F33" s="110"/>
      <c r="G33" s="84"/>
      <c r="H33" s="111"/>
      <c r="I33" s="110"/>
      <c r="J33" s="84"/>
      <c r="K33" s="111"/>
      <c r="L33" s="110"/>
      <c r="M33" s="84"/>
      <c r="N33" s="111"/>
      <c r="O33" s="110"/>
      <c r="P33" s="84"/>
      <c r="Q33" s="111"/>
    </row>
    <row r="34" spans="1:18">
      <c r="A34" s="78" t="s">
        <v>69</v>
      </c>
      <c r="B34" s="93"/>
      <c r="C34" s="110"/>
      <c r="D34" s="84"/>
      <c r="E34" s="111"/>
      <c r="F34" s="110"/>
      <c r="G34" s="84"/>
      <c r="H34" s="111"/>
      <c r="I34" s="110"/>
      <c r="J34" s="84"/>
      <c r="K34" s="111"/>
      <c r="L34" s="110"/>
      <c r="M34" s="84"/>
      <c r="N34" s="111"/>
      <c r="O34" s="110"/>
      <c r="P34" s="84"/>
      <c r="Q34" s="111"/>
    </row>
    <row r="35" spans="1:18">
      <c r="A35" s="78" t="s">
        <v>76</v>
      </c>
      <c r="B35" s="93"/>
      <c r="C35" s="110"/>
      <c r="D35" s="84"/>
      <c r="E35" s="111"/>
      <c r="F35" s="110"/>
      <c r="G35" s="84"/>
      <c r="H35" s="111"/>
      <c r="I35" s="110">
        <f t="shared" ref="I35:Q35" si="5">3*0.75*0.95-I32</f>
        <v>0.63749999999999973</v>
      </c>
      <c r="J35" s="84">
        <f t="shared" si="5"/>
        <v>0.63749999999999973</v>
      </c>
      <c r="K35" s="111">
        <f t="shared" si="5"/>
        <v>0.63749999999999973</v>
      </c>
      <c r="L35" s="110">
        <f t="shared" si="5"/>
        <v>0.63749999999999973</v>
      </c>
      <c r="M35" s="84">
        <f t="shared" si="5"/>
        <v>0.63749999999999973</v>
      </c>
      <c r="N35" s="111">
        <f t="shared" si="5"/>
        <v>0.63749999999999973</v>
      </c>
      <c r="O35" s="110">
        <f t="shared" si="5"/>
        <v>0.63749999999999973</v>
      </c>
      <c r="P35" s="84">
        <f t="shared" si="5"/>
        <v>0.63749999999999973</v>
      </c>
      <c r="Q35" s="111">
        <f t="shared" si="5"/>
        <v>0.63749999999999973</v>
      </c>
      <c r="R35" s="43" t="s">
        <v>77</v>
      </c>
    </row>
    <row r="36" spans="1:18" ht="16.5" thickBot="1">
      <c r="A36" s="79"/>
      <c r="B36" s="94"/>
      <c r="C36" s="112"/>
      <c r="D36" s="85"/>
      <c r="E36" s="113"/>
      <c r="F36" s="112"/>
      <c r="G36" s="85"/>
      <c r="H36" s="113"/>
      <c r="I36" s="112"/>
      <c r="J36" s="85"/>
      <c r="K36" s="113"/>
      <c r="L36" s="112"/>
      <c r="M36" s="85"/>
      <c r="N36" s="113"/>
      <c r="O36" s="112"/>
      <c r="P36" s="85"/>
      <c r="Q36" s="113"/>
    </row>
    <row r="37" spans="1:18" s="52" customFormat="1" ht="17.25" thickTop="1" thickBot="1">
      <c r="A37" s="80" t="s">
        <v>10</v>
      </c>
      <c r="B37" s="95"/>
      <c r="C37" s="114">
        <f>SUM(C24:C36)</f>
        <v>9</v>
      </c>
      <c r="D37" s="86">
        <f t="shared" ref="D37:Q37" si="6">SUM(D24:D36)</f>
        <v>9</v>
      </c>
      <c r="E37" s="115">
        <f t="shared" si="6"/>
        <v>9</v>
      </c>
      <c r="F37" s="114">
        <f t="shared" si="6"/>
        <v>9</v>
      </c>
      <c r="G37" s="86">
        <f t="shared" si="6"/>
        <v>9</v>
      </c>
      <c r="H37" s="115">
        <f t="shared" si="6"/>
        <v>9</v>
      </c>
      <c r="I37" s="114">
        <f t="shared" si="6"/>
        <v>9.6374999999999993</v>
      </c>
      <c r="J37" s="86">
        <f t="shared" si="6"/>
        <v>9.6374999999999993</v>
      </c>
      <c r="K37" s="115">
        <f t="shared" si="6"/>
        <v>9.6374999999999993</v>
      </c>
      <c r="L37" s="114">
        <f t="shared" si="6"/>
        <v>9.6374999999999993</v>
      </c>
      <c r="M37" s="86">
        <f t="shared" si="6"/>
        <v>9.6374999999999993</v>
      </c>
      <c r="N37" s="115">
        <f t="shared" si="6"/>
        <v>9.6374999999999993</v>
      </c>
      <c r="O37" s="114">
        <f t="shared" si="6"/>
        <v>9.6374999999999993</v>
      </c>
      <c r="P37" s="86">
        <f t="shared" si="6"/>
        <v>9.6374999999999993</v>
      </c>
      <c r="Q37" s="115">
        <f t="shared" si="6"/>
        <v>9.6374999999999993</v>
      </c>
    </row>
    <row r="38" spans="1:18" ht="17.25" thickTop="1" thickBot="1">
      <c r="C38" s="116"/>
      <c r="D38" s="68"/>
      <c r="E38" s="117"/>
      <c r="F38" s="116"/>
      <c r="G38" s="68"/>
      <c r="H38" s="117"/>
      <c r="I38" s="116"/>
      <c r="J38" s="68"/>
      <c r="K38" s="117"/>
      <c r="L38" s="116"/>
      <c r="M38" s="68"/>
      <c r="N38" s="117"/>
      <c r="O38" s="116"/>
      <c r="P38" s="68"/>
      <c r="Q38" s="117"/>
    </row>
    <row r="39" spans="1:18" ht="44.45" customHeight="1" thickTop="1" thickBot="1">
      <c r="A39" s="185" t="s">
        <v>79</v>
      </c>
      <c r="B39" s="186"/>
      <c r="C39" s="186"/>
      <c r="D39" s="186"/>
      <c r="E39" s="186"/>
      <c r="F39" s="186"/>
      <c r="G39" s="186"/>
      <c r="H39" s="186"/>
      <c r="I39" s="186"/>
      <c r="J39" s="186"/>
      <c r="K39" s="186"/>
      <c r="L39" s="186"/>
      <c r="M39" s="186"/>
      <c r="N39" s="186"/>
      <c r="O39" s="186"/>
      <c r="P39" s="186"/>
      <c r="Q39" s="187"/>
    </row>
    <row r="40" spans="1:18" s="52" customFormat="1" ht="16.5" customHeight="1" thickTop="1" thickBot="1">
      <c r="A40" s="55" t="s">
        <v>3</v>
      </c>
      <c r="B40" s="89"/>
      <c r="C40" s="172">
        <v>2010</v>
      </c>
      <c r="D40" s="173"/>
      <c r="E40" s="174"/>
      <c r="F40" s="172">
        <v>2015</v>
      </c>
      <c r="G40" s="173"/>
      <c r="H40" s="174"/>
      <c r="I40" s="172">
        <v>2020</v>
      </c>
      <c r="J40" s="173"/>
      <c r="K40" s="174"/>
      <c r="L40" s="172">
        <v>2025</v>
      </c>
      <c r="M40" s="173"/>
      <c r="N40" s="174"/>
      <c r="O40" s="172">
        <v>2030</v>
      </c>
      <c r="P40" s="173"/>
      <c r="Q40" s="174"/>
    </row>
    <row r="41" spans="1:18" s="57" customFormat="1" ht="17.25" thickTop="1" thickBot="1">
      <c r="A41" s="167"/>
      <c r="B41" s="168"/>
      <c r="C41" s="96" t="s">
        <v>24</v>
      </c>
      <c r="D41" s="56" t="s">
        <v>57</v>
      </c>
      <c r="E41" s="97" t="s">
        <v>26</v>
      </c>
      <c r="F41" s="96" t="s">
        <v>24</v>
      </c>
      <c r="G41" s="56" t="s">
        <v>57</v>
      </c>
      <c r="H41" s="97" t="s">
        <v>26</v>
      </c>
      <c r="I41" s="96" t="s">
        <v>24</v>
      </c>
      <c r="J41" s="56" t="s">
        <v>57</v>
      </c>
      <c r="K41" s="97" t="s">
        <v>26</v>
      </c>
      <c r="L41" s="96" t="s">
        <v>24</v>
      </c>
      <c r="M41" s="56" t="s">
        <v>57</v>
      </c>
      <c r="N41" s="97" t="s">
        <v>26</v>
      </c>
      <c r="O41" s="96" t="s">
        <v>24</v>
      </c>
      <c r="P41" s="56" t="s">
        <v>57</v>
      </c>
      <c r="Q41" s="97" t="s">
        <v>26</v>
      </c>
    </row>
    <row r="42" spans="1:18" ht="16.5" thickTop="1">
      <c r="A42" s="74" t="s">
        <v>11</v>
      </c>
      <c r="B42" s="118"/>
      <c r="C42" s="121">
        <f t="shared" ref="C42:Q42" si="7">C37-C14</f>
        <v>0.21790236799999896</v>
      </c>
      <c r="D42" s="70">
        <f t="shared" si="7"/>
        <v>0.21790236799999896</v>
      </c>
      <c r="E42" s="122">
        <f t="shared" si="7"/>
        <v>0.21790236799999896</v>
      </c>
      <c r="F42" s="121">
        <f t="shared" si="7"/>
        <v>-1.6940760800000731E-2</v>
      </c>
      <c r="G42" s="70">
        <f t="shared" si="7"/>
        <v>-0.47765684600000036</v>
      </c>
      <c r="H42" s="122">
        <f t="shared" si="7"/>
        <v>-1.2507600799999992</v>
      </c>
      <c r="I42" s="121">
        <f t="shared" si="7"/>
        <v>0.76564128106666551</v>
      </c>
      <c r="J42" s="70">
        <f t="shared" si="7"/>
        <v>3.5444861866663402E-2</v>
      </c>
      <c r="K42" s="122">
        <f t="shared" si="7"/>
        <v>-0.98444085333333398</v>
      </c>
      <c r="L42" s="121">
        <f t="shared" si="7"/>
        <v>0.44562950453332917</v>
      </c>
      <c r="M42" s="70">
        <f t="shared" si="7"/>
        <v>-0.30508985706666891</v>
      </c>
      <c r="N42" s="122">
        <f t="shared" si="7"/>
        <v>-1.3556216266666681</v>
      </c>
      <c r="O42" s="121">
        <f t="shared" si="7"/>
        <v>0.12561772799999815</v>
      </c>
      <c r="P42" s="70">
        <f t="shared" si="7"/>
        <v>-0.64562457600000123</v>
      </c>
      <c r="Q42" s="122">
        <f t="shared" si="7"/>
        <v>-1.7609024000000026</v>
      </c>
      <c r="R42" s="69"/>
    </row>
    <row r="43" spans="1:18">
      <c r="A43" s="75"/>
      <c r="B43" s="119"/>
      <c r="C43" s="123"/>
      <c r="D43" s="71"/>
      <c r="E43" s="124"/>
      <c r="F43" s="123"/>
      <c r="G43" s="71"/>
      <c r="H43" s="124"/>
      <c r="I43" s="123"/>
      <c r="J43" s="71"/>
      <c r="K43" s="124"/>
      <c r="L43" s="123"/>
      <c r="M43" s="71"/>
      <c r="N43" s="124"/>
      <c r="O43" s="123"/>
      <c r="P43" s="71"/>
      <c r="Q43" s="124"/>
      <c r="R43" s="69"/>
    </row>
    <row r="44" spans="1:18" ht="16.5" thickBot="1">
      <c r="A44" s="130" t="s">
        <v>68</v>
      </c>
      <c r="B44" s="120"/>
      <c r="C44" s="127">
        <f>C37-C14-C30</f>
        <v>-1.282097632000001</v>
      </c>
      <c r="D44" s="82">
        <f t="shared" ref="D44:H44" si="8">D37-D14-D30</f>
        <v>-1.282097632000001</v>
      </c>
      <c r="E44" s="128">
        <f t="shared" si="8"/>
        <v>-1.282097632000001</v>
      </c>
      <c r="F44" s="127">
        <f>F37-F14-F30</f>
        <v>-1.5169407608000007</v>
      </c>
      <c r="G44" s="82">
        <f t="shared" si="8"/>
        <v>-1.9776568460000004</v>
      </c>
      <c r="H44" s="128">
        <f t="shared" si="8"/>
        <v>-2.7507600799999992</v>
      </c>
      <c r="I44" s="127">
        <f>I37-I14-I30</f>
        <v>-0.73435871893333449</v>
      </c>
      <c r="J44" s="82">
        <f t="shared" ref="J44:K44" si="9">J37-J14-J30</f>
        <v>-1.4645551381333366</v>
      </c>
      <c r="K44" s="128">
        <f t="shared" si="9"/>
        <v>-2.484440853333334</v>
      </c>
      <c r="L44" s="127">
        <f>L37-L14-L30</f>
        <v>-1.0543704954666708</v>
      </c>
      <c r="M44" s="82">
        <f t="shared" ref="M44:N44" si="10">M37-M14-M30</f>
        <v>-1.8050898570666689</v>
      </c>
      <c r="N44" s="128">
        <f t="shared" si="10"/>
        <v>-2.8556216266666681</v>
      </c>
      <c r="O44" s="127">
        <f>O37-O14-O30</f>
        <v>-1.3743822720000018</v>
      </c>
      <c r="P44" s="82">
        <f t="shared" ref="P44:Q44" si="11">P37-P14-P30</f>
        <v>-2.1456245760000012</v>
      </c>
      <c r="Q44" s="128">
        <f t="shared" si="11"/>
        <v>-3.2609024000000026</v>
      </c>
      <c r="R44" s="69"/>
    </row>
    <row r="45" spans="1:18" ht="16.5" thickTop="1"/>
  </sheetData>
  <mergeCells count="21">
    <mergeCell ref="C40:E40"/>
    <mergeCell ref="F40:H40"/>
    <mergeCell ref="I40:K40"/>
    <mergeCell ref="L40:N40"/>
    <mergeCell ref="O40:Q40"/>
    <mergeCell ref="A41:B41"/>
    <mergeCell ref="A18:B18"/>
    <mergeCell ref="A10:Q10"/>
    <mergeCell ref="C12:E12"/>
    <mergeCell ref="F12:H12"/>
    <mergeCell ref="I12:K12"/>
    <mergeCell ref="L12:N12"/>
    <mergeCell ref="O12:Q12"/>
    <mergeCell ref="A13:B13"/>
    <mergeCell ref="A14:B14"/>
    <mergeCell ref="A15:B15"/>
    <mergeCell ref="A16:B16"/>
    <mergeCell ref="A17:B17"/>
    <mergeCell ref="A19:B19"/>
    <mergeCell ref="A20:B20"/>
    <mergeCell ref="A39:Q39"/>
  </mergeCells>
  <conditionalFormatting sqref="C42:Q44">
    <cfRule type="cellIs" dxfId="4" priority="3" operator="lessThan">
      <formula>0</formula>
    </cfRule>
  </conditionalFormatting>
  <printOptions horizontalCentered="1" verticalCentered="1"/>
  <pageMargins left="0.2" right="0.2" top="0.25" bottom="0.25" header="0.3" footer="0.3"/>
  <pageSetup scale="72" orientation="portrait"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V46"/>
  <sheetViews>
    <sheetView tabSelected="1" topLeftCell="H1" zoomScale="90" zoomScaleNormal="90" workbookViewId="0">
      <selection activeCell="R8" sqref="R8:R9"/>
    </sheetView>
  </sheetViews>
  <sheetFormatPr defaultRowHeight="15.75"/>
  <cols>
    <col min="1" max="1" width="28.85546875" style="43" customWidth="1"/>
    <col min="2" max="2" width="9.140625" style="43"/>
    <col min="3" max="3" width="8.85546875" style="43" customWidth="1"/>
    <col min="4" max="4" width="9.140625" style="43"/>
    <col min="5" max="5" width="10.28515625" style="43" bestFit="1" customWidth="1"/>
    <col min="6" max="17" width="9.140625" style="43"/>
    <col min="18" max="18" width="41.42578125" style="43" bestFit="1" customWidth="1"/>
    <col min="19" max="16384" width="9.140625" style="43"/>
  </cols>
  <sheetData>
    <row r="1" spans="1:22" ht="23.25">
      <c r="A1" s="161" t="s">
        <v>97</v>
      </c>
    </row>
    <row r="2" spans="1:22" ht="23.25">
      <c r="A2" s="161"/>
    </row>
    <row r="3" spans="1:22" ht="23.25">
      <c r="A3" s="161"/>
    </row>
    <row r="4" spans="1:22" ht="23.25">
      <c r="A4" s="161"/>
    </row>
    <row r="5" spans="1:22" ht="23.25">
      <c r="A5" s="161"/>
    </row>
    <row r="6" spans="1:22" ht="23.25">
      <c r="A6" s="161"/>
    </row>
    <row r="7" spans="1:22" s="73" customFormat="1" ht="21">
      <c r="A7" s="188" t="s">
        <v>90</v>
      </c>
      <c r="B7" s="188"/>
      <c r="C7" s="188"/>
      <c r="D7" s="188"/>
      <c r="E7" s="188"/>
      <c r="F7" s="188"/>
      <c r="G7" s="188"/>
      <c r="H7" s="188"/>
      <c r="I7" s="188"/>
      <c r="J7" s="188"/>
      <c r="K7" s="188"/>
      <c r="L7" s="188"/>
      <c r="M7" s="188"/>
      <c r="N7" s="188"/>
      <c r="O7" s="188"/>
      <c r="P7" s="188"/>
      <c r="Q7" s="188"/>
    </row>
    <row r="8" spans="1:22" ht="16.5" thickBot="1"/>
    <row r="9" spans="1:22" s="52" customFormat="1" ht="16.5" customHeight="1" thickTop="1" thickBot="1">
      <c r="A9" s="55" t="s">
        <v>3</v>
      </c>
      <c r="B9" s="89"/>
      <c r="C9" s="172">
        <v>2010</v>
      </c>
      <c r="D9" s="173"/>
      <c r="E9" s="174"/>
      <c r="F9" s="172">
        <v>2015</v>
      </c>
      <c r="G9" s="173"/>
      <c r="H9" s="174"/>
      <c r="I9" s="172">
        <v>2020</v>
      </c>
      <c r="J9" s="173"/>
      <c r="K9" s="174"/>
      <c r="L9" s="172">
        <v>2025</v>
      </c>
      <c r="M9" s="173"/>
      <c r="N9" s="174"/>
      <c r="O9" s="172">
        <v>2030</v>
      </c>
      <c r="P9" s="173"/>
      <c r="Q9" s="174"/>
    </row>
    <row r="10" spans="1:22" s="57" customFormat="1" ht="16.5" thickTop="1">
      <c r="A10" s="167"/>
      <c r="B10" s="168"/>
      <c r="C10" s="96" t="s">
        <v>24</v>
      </c>
      <c r="D10" s="56" t="s">
        <v>57</v>
      </c>
      <c r="E10" s="97" t="s">
        <v>26</v>
      </c>
      <c r="F10" s="96" t="s">
        <v>24</v>
      </c>
      <c r="G10" s="56" t="s">
        <v>57</v>
      </c>
      <c r="H10" s="97" t="s">
        <v>26</v>
      </c>
      <c r="I10" s="96" t="s">
        <v>24</v>
      </c>
      <c r="J10" s="56" t="s">
        <v>57</v>
      </c>
      <c r="K10" s="97" t="s">
        <v>26</v>
      </c>
      <c r="L10" s="96" t="s">
        <v>24</v>
      </c>
      <c r="M10" s="56" t="s">
        <v>57</v>
      </c>
      <c r="N10" s="97" t="s">
        <v>26</v>
      </c>
      <c r="O10" s="96" t="s">
        <v>24</v>
      </c>
      <c r="P10" s="56" t="s">
        <v>57</v>
      </c>
      <c r="Q10" s="97" t="s">
        <v>26</v>
      </c>
    </row>
    <row r="11" spans="1:22" ht="39" customHeight="1">
      <c r="A11" s="189" t="s">
        <v>58</v>
      </c>
      <c r="B11" s="190"/>
      <c r="C11" s="98">
        <f>'Low Maximum Day by Zone'!B26</f>
        <v>8.782097632000001</v>
      </c>
      <c r="D11" s="58">
        <f>'Median Maximum Day by Zone'!B26</f>
        <v>8.782097632000001</v>
      </c>
      <c r="E11" s="99">
        <f>'High Maximum Day by Zone'!B26</f>
        <v>8.782097632000001</v>
      </c>
      <c r="F11" s="98">
        <f>'Low Maximum Day by Zone'!C26</f>
        <v>9.0169407608000007</v>
      </c>
      <c r="G11" s="58">
        <f>'Median Maximum Day by Zone'!C26</f>
        <v>9.4776568460000004</v>
      </c>
      <c r="H11" s="99">
        <f>'High Maximum Day by Zone'!C26</f>
        <v>10.250760079999999</v>
      </c>
      <c r="I11" s="98">
        <f>'Low Maximum Day by Zone'!D26</f>
        <v>8.8718587189333338</v>
      </c>
      <c r="J11" s="58">
        <f>'Median Maximum Day by Zone'!D26</f>
        <v>9.6020551381333359</v>
      </c>
      <c r="K11" s="99">
        <f>'High Maximum Day by Zone'!D26</f>
        <v>10.621940853333333</v>
      </c>
      <c r="L11" s="98">
        <f>'Low Maximum Day by Zone'!E26</f>
        <v>9.1918704954666701</v>
      </c>
      <c r="M11" s="58">
        <f>'Median Maximum Day by Zone'!E26</f>
        <v>9.9425898570666682</v>
      </c>
      <c r="N11" s="99">
        <f>'High Maximum Day by Zone'!E26</f>
        <v>10.993121626666667</v>
      </c>
      <c r="O11" s="98">
        <f>'Low Maximum Day by Zone'!F26</f>
        <v>9.5118822720000011</v>
      </c>
      <c r="P11" s="58">
        <f>'Median Maximum Day by Zone'!F26</f>
        <v>10.283124576000001</v>
      </c>
      <c r="Q11" s="99">
        <f>'High Maximum Day by Zone'!F26</f>
        <v>11.398402400000002</v>
      </c>
    </row>
    <row r="12" spans="1:22">
      <c r="A12" s="177"/>
      <c r="B12" s="178"/>
      <c r="C12" s="98"/>
      <c r="D12" s="58"/>
      <c r="E12" s="99"/>
      <c r="F12" s="98"/>
      <c r="G12" s="58"/>
      <c r="H12" s="99"/>
      <c r="I12" s="98"/>
      <c r="J12" s="58"/>
      <c r="K12" s="99"/>
      <c r="L12" s="98"/>
      <c r="M12" s="58"/>
      <c r="N12" s="99"/>
      <c r="O12" s="98"/>
      <c r="P12" s="58"/>
      <c r="Q12" s="99"/>
    </row>
    <row r="13" spans="1:22">
      <c r="A13" s="177"/>
      <c r="B13" s="178"/>
      <c r="C13" s="98"/>
      <c r="D13" s="58"/>
      <c r="E13" s="99"/>
      <c r="F13" s="98"/>
      <c r="G13" s="58"/>
      <c r="H13" s="99"/>
      <c r="I13" s="98"/>
      <c r="J13" s="58"/>
      <c r="K13" s="99"/>
      <c r="L13" s="98"/>
      <c r="M13" s="58"/>
      <c r="N13" s="99"/>
      <c r="O13" s="98"/>
      <c r="P13" s="58"/>
      <c r="Q13" s="99"/>
    </row>
    <row r="14" spans="1:22" ht="30.75" customHeight="1">
      <c r="A14" s="179" t="s">
        <v>59</v>
      </c>
      <c r="B14" s="180"/>
      <c r="C14" s="98">
        <f>'Low Maximum Day by Zone'!B34</f>
        <v>16.32794148352172</v>
      </c>
      <c r="D14" s="58">
        <f>'Median Maximum Day by Zone'!B34</f>
        <v>16.32794148352172</v>
      </c>
      <c r="E14" s="99">
        <f>'High Maximum Day by Zone'!B34</f>
        <v>16.32794148352172</v>
      </c>
      <c r="F14" s="98">
        <f>'Low Maximum Day by Zone'!C34</f>
        <v>17.602797376627983</v>
      </c>
      <c r="G14" s="58">
        <f>'Median Maximum Day by Zone'!C34</f>
        <v>18.502203517919892</v>
      </c>
      <c r="H14" s="99">
        <f>'High Maximum Day by Zone'!C34</f>
        <v>19.058523118438995</v>
      </c>
      <c r="I14" s="98">
        <f>'Low Maximum Day by Zone'!D34</f>
        <v>18.144310811744909</v>
      </c>
      <c r="J14" s="58">
        <f>'Median Maximum Day by Zone'!D34</f>
        <v>18.745052837718173</v>
      </c>
      <c r="K14" s="99">
        <f>'High Maximum Day by Zone'!D34</f>
        <v>19.748633636535665</v>
      </c>
      <c r="L14" s="98">
        <f>'Low Maximum Day by Zone'!E34</f>
        <v>18.798783940859124</v>
      </c>
      <c r="M14" s="58">
        <f>'Median Maximum Day by Zone'!E34</f>
        <v>19.409841907105228</v>
      </c>
      <c r="N14" s="99">
        <f>'High Maximum Day by Zone'!E34</f>
        <v>20.438744154632328</v>
      </c>
      <c r="O14" s="98">
        <f>'Low Maximum Day by Zone'!F34</f>
        <v>19.453257069973322</v>
      </c>
      <c r="P14" s="58">
        <f>'Median Maximum Day by Zone'!F34</f>
        <v>20.07463097649228</v>
      </c>
      <c r="Q14" s="99">
        <f>'High Maximum Day by Zone'!F34</f>
        <v>21.192254423895424</v>
      </c>
      <c r="R14" s="87"/>
      <c r="S14" s="88"/>
      <c r="T14" s="88"/>
      <c r="U14" s="88"/>
      <c r="V14" s="88"/>
    </row>
    <row r="15" spans="1:22">
      <c r="A15" s="169" t="s">
        <v>60</v>
      </c>
      <c r="B15" s="170"/>
      <c r="C15" s="98">
        <v>0</v>
      </c>
      <c r="D15" s="58">
        <v>0</v>
      </c>
      <c r="E15" s="99">
        <v>0</v>
      </c>
      <c r="F15" s="98">
        <v>0</v>
      </c>
      <c r="G15" s="58">
        <v>1</v>
      </c>
      <c r="H15" s="99">
        <v>1</v>
      </c>
      <c r="I15" s="98">
        <v>0</v>
      </c>
      <c r="J15" s="58">
        <v>1</v>
      </c>
      <c r="K15" s="99">
        <v>1</v>
      </c>
      <c r="L15" s="98">
        <v>0</v>
      </c>
      <c r="M15" s="58">
        <v>1</v>
      </c>
      <c r="N15" s="99">
        <v>1</v>
      </c>
      <c r="O15" s="98">
        <v>0</v>
      </c>
      <c r="P15" s="58">
        <v>1</v>
      </c>
      <c r="Q15" s="99">
        <v>1</v>
      </c>
    </row>
    <row r="16" spans="1:22">
      <c r="A16" s="181" t="s">
        <v>54</v>
      </c>
      <c r="B16" s="182"/>
      <c r="C16" s="100">
        <f>SUM(C14:C15)</f>
        <v>16.32794148352172</v>
      </c>
      <c r="D16" s="59">
        <f t="shared" ref="D16" si="0">SUM(D14:D15)</f>
        <v>16.32794148352172</v>
      </c>
      <c r="E16" s="101">
        <f t="shared" ref="E16" si="1">SUM(E14:E15)</f>
        <v>16.32794148352172</v>
      </c>
      <c r="F16" s="100">
        <f>SUM(F14:F15)</f>
        <v>17.602797376627983</v>
      </c>
      <c r="G16" s="59">
        <f t="shared" ref="G16" si="2">SUM(G14:G15)</f>
        <v>19.502203517919892</v>
      </c>
      <c r="H16" s="101">
        <f t="shared" ref="H16" si="3">SUM(H14:H15)</f>
        <v>20.058523118438995</v>
      </c>
      <c r="I16" s="100">
        <f>SUM(I14:I15)</f>
        <v>18.144310811744909</v>
      </c>
      <c r="J16" s="59">
        <f t="shared" ref="J16" si="4">SUM(J14:J15)</f>
        <v>19.745052837718173</v>
      </c>
      <c r="K16" s="101">
        <f t="shared" ref="K16" si="5">SUM(K14:K15)</f>
        <v>20.748633636535665</v>
      </c>
      <c r="L16" s="100">
        <f>SUM(L14:L15)</f>
        <v>18.798783940859124</v>
      </c>
      <c r="M16" s="59">
        <f t="shared" ref="M16" si="6">SUM(M14:M15)</f>
        <v>20.409841907105228</v>
      </c>
      <c r="N16" s="101">
        <f t="shared" ref="N16" si="7">SUM(N14:N15)</f>
        <v>21.438744154632328</v>
      </c>
      <c r="O16" s="100">
        <f>SUM(O14:O15)</f>
        <v>19.453257069973322</v>
      </c>
      <c r="P16" s="59">
        <f t="shared" ref="P16:Q16" si="8">SUM(P14:P15)</f>
        <v>21.07463097649228</v>
      </c>
      <c r="Q16" s="101">
        <f t="shared" si="8"/>
        <v>22.192254423895424</v>
      </c>
    </row>
    <row r="17" spans="1:18" ht="16.5" thickBot="1">
      <c r="A17" s="183"/>
      <c r="B17" s="184"/>
      <c r="C17" s="102"/>
      <c r="D17" s="60"/>
      <c r="E17" s="103"/>
      <c r="F17" s="102"/>
      <c r="G17" s="60"/>
      <c r="H17" s="103"/>
      <c r="I17" s="102"/>
      <c r="J17" s="60"/>
      <c r="K17" s="103"/>
      <c r="L17" s="102"/>
      <c r="M17" s="60"/>
      <c r="N17" s="103"/>
      <c r="O17" s="102"/>
      <c r="P17" s="60"/>
      <c r="Q17" s="103"/>
    </row>
    <row r="18" spans="1:18" ht="17.25" thickTop="1" thickBot="1">
      <c r="A18" s="61"/>
      <c r="C18" s="104"/>
      <c r="D18" s="67"/>
      <c r="E18" s="105"/>
      <c r="F18" s="104"/>
      <c r="G18" s="67"/>
      <c r="H18" s="105"/>
      <c r="I18" s="104"/>
      <c r="J18" s="67"/>
      <c r="K18" s="105"/>
      <c r="L18" s="104"/>
      <c r="M18" s="67"/>
      <c r="N18" s="105"/>
      <c r="O18" s="104"/>
      <c r="P18" s="67"/>
      <c r="Q18" s="105"/>
    </row>
    <row r="19" spans="1:18" ht="30" customHeight="1" thickTop="1" thickBot="1">
      <c r="A19" s="62" t="s">
        <v>46</v>
      </c>
      <c r="B19" s="90" t="s">
        <v>1</v>
      </c>
      <c r="C19" s="106" t="s">
        <v>2</v>
      </c>
      <c r="D19" s="63" t="s">
        <v>2</v>
      </c>
      <c r="E19" s="107" t="s">
        <v>2</v>
      </c>
      <c r="F19" s="106" t="s">
        <v>2</v>
      </c>
      <c r="G19" s="63" t="s">
        <v>2</v>
      </c>
      <c r="H19" s="107" t="s">
        <v>2</v>
      </c>
      <c r="I19" s="106" t="s">
        <v>2</v>
      </c>
      <c r="J19" s="63" t="s">
        <v>2</v>
      </c>
      <c r="K19" s="107" t="s">
        <v>2</v>
      </c>
      <c r="L19" s="106" t="s">
        <v>2</v>
      </c>
      <c r="M19" s="63" t="s">
        <v>2</v>
      </c>
      <c r="N19" s="107" t="s">
        <v>2</v>
      </c>
      <c r="O19" s="106" t="s">
        <v>2</v>
      </c>
      <c r="P19" s="63" t="s">
        <v>2</v>
      </c>
      <c r="Q19" s="107" t="s">
        <v>2</v>
      </c>
    </row>
    <row r="20" spans="1:18" ht="16.5" thickTop="1">
      <c r="A20" s="64"/>
      <c r="B20" s="91"/>
      <c r="C20" s="108"/>
      <c r="D20" s="83"/>
      <c r="E20" s="109"/>
      <c r="F20" s="108"/>
      <c r="G20" s="83"/>
      <c r="H20" s="109"/>
      <c r="I20" s="108"/>
      <c r="J20" s="83"/>
      <c r="K20" s="109"/>
      <c r="L20" s="108"/>
      <c r="M20" s="83"/>
      <c r="N20" s="109"/>
      <c r="O20" s="108"/>
      <c r="P20" s="83"/>
      <c r="Q20" s="109"/>
    </row>
    <row r="21" spans="1:18">
      <c r="A21" s="65" t="s">
        <v>67</v>
      </c>
      <c r="B21" s="92">
        <v>25</v>
      </c>
      <c r="C21" s="110">
        <v>3</v>
      </c>
      <c r="D21" s="84">
        <v>3</v>
      </c>
      <c r="E21" s="111">
        <v>3</v>
      </c>
      <c r="F21" s="110">
        <v>3</v>
      </c>
      <c r="G21" s="84">
        <v>3</v>
      </c>
      <c r="H21" s="111">
        <v>3</v>
      </c>
      <c r="I21" s="110">
        <v>3</v>
      </c>
      <c r="J21" s="84">
        <v>3</v>
      </c>
      <c r="K21" s="111">
        <v>3</v>
      </c>
      <c r="L21" s="110">
        <v>3</v>
      </c>
      <c r="M21" s="84">
        <v>3</v>
      </c>
      <c r="N21" s="111">
        <v>3</v>
      </c>
      <c r="O21" s="110">
        <v>3</v>
      </c>
      <c r="P21" s="84">
        <v>3</v>
      </c>
      <c r="Q21" s="111">
        <v>3</v>
      </c>
    </row>
    <row r="22" spans="1:18">
      <c r="A22" s="65">
        <v>5</v>
      </c>
      <c r="B22" s="92" t="s">
        <v>9</v>
      </c>
      <c r="C22" s="110"/>
      <c r="D22" s="84"/>
      <c r="E22" s="111"/>
      <c r="F22" s="110"/>
      <c r="G22" s="84"/>
      <c r="H22" s="111"/>
      <c r="I22" s="110"/>
      <c r="J22" s="84"/>
      <c r="K22" s="111"/>
      <c r="L22" s="110"/>
      <c r="M22" s="84"/>
      <c r="N22" s="111"/>
      <c r="O22" s="110"/>
      <c r="P22" s="84"/>
      <c r="Q22" s="111"/>
    </row>
    <row r="23" spans="1:18">
      <c r="A23" s="65" t="s">
        <v>8</v>
      </c>
      <c r="B23" s="92">
        <v>7</v>
      </c>
      <c r="C23" s="110">
        <v>3</v>
      </c>
      <c r="D23" s="84">
        <v>3</v>
      </c>
      <c r="E23" s="111">
        <v>3</v>
      </c>
      <c r="F23" s="110">
        <v>3</v>
      </c>
      <c r="G23" s="84">
        <v>3</v>
      </c>
      <c r="H23" s="111">
        <v>3</v>
      </c>
      <c r="I23" s="110">
        <v>3</v>
      </c>
      <c r="J23" s="84">
        <v>3</v>
      </c>
      <c r="K23" s="111">
        <v>3</v>
      </c>
      <c r="L23" s="110">
        <v>3</v>
      </c>
      <c r="M23" s="84">
        <v>3</v>
      </c>
      <c r="N23" s="111">
        <v>3</v>
      </c>
      <c r="O23" s="110">
        <v>3</v>
      </c>
      <c r="P23" s="84">
        <v>3</v>
      </c>
      <c r="Q23" s="111">
        <v>3</v>
      </c>
    </row>
    <row r="24" spans="1:18">
      <c r="A24" s="66"/>
      <c r="B24" s="92">
        <v>8</v>
      </c>
      <c r="C24" s="110">
        <v>2.4</v>
      </c>
      <c r="D24" s="84">
        <v>2.4</v>
      </c>
      <c r="E24" s="111">
        <v>2.4</v>
      </c>
      <c r="F24" s="110">
        <v>2.4</v>
      </c>
      <c r="G24" s="84">
        <v>2.4</v>
      </c>
      <c r="H24" s="111">
        <v>2.4</v>
      </c>
      <c r="I24" s="110">
        <v>2.4</v>
      </c>
      <c r="J24" s="84">
        <v>2.4</v>
      </c>
      <c r="K24" s="111">
        <v>2.4</v>
      </c>
      <c r="L24" s="110">
        <v>2.4</v>
      </c>
      <c r="M24" s="84">
        <v>2.4</v>
      </c>
      <c r="N24" s="111">
        <v>2.4</v>
      </c>
      <c r="O24" s="110">
        <v>2.4</v>
      </c>
      <c r="P24" s="84">
        <v>2.4</v>
      </c>
      <c r="Q24" s="111">
        <v>2.4</v>
      </c>
    </row>
    <row r="25" spans="1:18">
      <c r="A25" s="66"/>
      <c r="B25" s="92">
        <v>11</v>
      </c>
      <c r="C25" s="110">
        <v>3</v>
      </c>
      <c r="D25" s="84">
        <v>3</v>
      </c>
      <c r="E25" s="111">
        <v>3</v>
      </c>
      <c r="F25" s="110">
        <v>3</v>
      </c>
      <c r="G25" s="84">
        <v>3</v>
      </c>
      <c r="H25" s="111">
        <v>3</v>
      </c>
      <c r="I25" s="110">
        <v>3</v>
      </c>
      <c r="J25" s="84">
        <v>3</v>
      </c>
      <c r="K25" s="111">
        <v>3</v>
      </c>
      <c r="L25" s="110">
        <v>3</v>
      </c>
      <c r="M25" s="84">
        <v>3</v>
      </c>
      <c r="N25" s="111">
        <v>3</v>
      </c>
      <c r="O25" s="110">
        <v>3</v>
      </c>
      <c r="P25" s="84">
        <v>3</v>
      </c>
      <c r="Q25" s="111">
        <v>3</v>
      </c>
    </row>
    <row r="26" spans="1:18">
      <c r="A26" s="66"/>
      <c r="B26" s="92">
        <v>13</v>
      </c>
      <c r="C26" s="110">
        <v>3</v>
      </c>
      <c r="D26" s="84">
        <v>3</v>
      </c>
      <c r="E26" s="111">
        <v>3</v>
      </c>
      <c r="F26" s="110">
        <v>3</v>
      </c>
      <c r="G26" s="84">
        <v>3</v>
      </c>
      <c r="H26" s="111">
        <v>3</v>
      </c>
      <c r="I26" s="110">
        <v>3</v>
      </c>
      <c r="J26" s="84">
        <v>3</v>
      </c>
      <c r="K26" s="111">
        <v>3</v>
      </c>
      <c r="L26" s="110">
        <v>3</v>
      </c>
      <c r="M26" s="84">
        <v>3</v>
      </c>
      <c r="N26" s="111">
        <v>3</v>
      </c>
      <c r="O26" s="110">
        <v>3</v>
      </c>
      <c r="P26" s="84">
        <v>3</v>
      </c>
      <c r="Q26" s="111">
        <v>3</v>
      </c>
    </row>
    <row r="27" spans="1:18">
      <c r="A27" s="66"/>
      <c r="B27" s="92">
        <v>15</v>
      </c>
      <c r="C27" s="110">
        <v>3</v>
      </c>
      <c r="D27" s="84">
        <v>3</v>
      </c>
      <c r="E27" s="111">
        <v>3</v>
      </c>
      <c r="F27" s="110">
        <v>3</v>
      </c>
      <c r="G27" s="84">
        <v>3</v>
      </c>
      <c r="H27" s="111">
        <v>3</v>
      </c>
      <c r="I27" s="110">
        <v>3</v>
      </c>
      <c r="J27" s="84">
        <v>3</v>
      </c>
      <c r="K27" s="111">
        <v>3</v>
      </c>
      <c r="L27" s="110">
        <v>3</v>
      </c>
      <c r="M27" s="84">
        <v>3</v>
      </c>
      <c r="N27" s="111">
        <v>3</v>
      </c>
      <c r="O27" s="110">
        <v>3</v>
      </c>
      <c r="P27" s="84">
        <v>3</v>
      </c>
      <c r="Q27" s="111">
        <v>3</v>
      </c>
    </row>
    <row r="28" spans="1:18">
      <c r="A28" s="66"/>
      <c r="B28" s="92">
        <v>23</v>
      </c>
      <c r="C28" s="110">
        <v>1.4</v>
      </c>
      <c r="D28" s="84">
        <v>1.4</v>
      </c>
      <c r="E28" s="111">
        <v>1.4</v>
      </c>
      <c r="F28" s="110">
        <v>1.4</v>
      </c>
      <c r="G28" s="84">
        <v>1.4</v>
      </c>
      <c r="H28" s="111">
        <v>1.4</v>
      </c>
      <c r="I28" s="110">
        <v>1.4</v>
      </c>
      <c r="J28" s="84">
        <v>1.4</v>
      </c>
      <c r="K28" s="111">
        <v>1.4</v>
      </c>
      <c r="L28" s="110">
        <v>1.4</v>
      </c>
      <c r="M28" s="84">
        <v>1.4</v>
      </c>
      <c r="N28" s="111">
        <v>1.4</v>
      </c>
      <c r="O28" s="110">
        <v>1.4</v>
      </c>
      <c r="P28" s="84">
        <v>1.4</v>
      </c>
      <c r="Q28" s="111">
        <v>1.4</v>
      </c>
    </row>
    <row r="29" spans="1:18">
      <c r="A29" s="66"/>
      <c r="B29" s="92">
        <v>29</v>
      </c>
      <c r="C29" s="110">
        <v>1.5</v>
      </c>
      <c r="D29" s="84">
        <v>1.5</v>
      </c>
      <c r="E29" s="111">
        <v>1.5</v>
      </c>
      <c r="F29" s="110">
        <v>1.5</v>
      </c>
      <c r="G29" s="84">
        <v>1.5</v>
      </c>
      <c r="H29" s="111">
        <v>1.5</v>
      </c>
      <c r="I29" s="110">
        <v>1.5</v>
      </c>
      <c r="J29" s="84">
        <v>1.5</v>
      </c>
      <c r="K29" s="111">
        <v>1.5</v>
      </c>
      <c r="L29" s="110">
        <v>1.5</v>
      </c>
      <c r="M29" s="84">
        <v>1.5</v>
      </c>
      <c r="N29" s="111">
        <v>1.5</v>
      </c>
      <c r="O29" s="110">
        <v>1.5</v>
      </c>
      <c r="P29" s="84">
        <v>1.5</v>
      </c>
      <c r="Q29" s="111">
        <v>1.5</v>
      </c>
    </row>
    <row r="30" spans="1:18">
      <c r="A30" s="66"/>
      <c r="B30" s="93"/>
      <c r="C30" s="110"/>
      <c r="D30" s="84"/>
      <c r="E30" s="111"/>
      <c r="F30" s="110"/>
      <c r="G30" s="84"/>
      <c r="H30" s="111"/>
      <c r="I30" s="110"/>
      <c r="J30" s="84"/>
      <c r="K30" s="111"/>
      <c r="L30" s="110"/>
      <c r="M30" s="84"/>
      <c r="N30" s="111"/>
      <c r="O30" s="110"/>
      <c r="P30" s="84"/>
      <c r="Q30" s="111"/>
    </row>
    <row r="31" spans="1:18">
      <c r="A31" s="78" t="s">
        <v>69</v>
      </c>
      <c r="B31" s="93"/>
      <c r="C31" s="110"/>
      <c r="D31" s="84"/>
      <c r="E31" s="111"/>
      <c r="F31" s="110"/>
      <c r="G31" s="84"/>
      <c r="H31" s="111"/>
      <c r="I31" s="110"/>
      <c r="J31" s="84"/>
      <c r="K31" s="111"/>
      <c r="L31" s="110"/>
      <c r="M31" s="84"/>
      <c r="N31" s="111"/>
      <c r="O31" s="110"/>
      <c r="P31" s="84"/>
      <c r="Q31" s="111"/>
    </row>
    <row r="32" spans="1:18">
      <c r="A32" s="78" t="s">
        <v>76</v>
      </c>
      <c r="B32" s="93"/>
      <c r="C32" s="110"/>
      <c r="D32" s="84"/>
      <c r="E32" s="111"/>
      <c r="F32" s="110"/>
      <c r="G32" s="84"/>
      <c r="H32" s="111"/>
      <c r="I32" s="110">
        <f t="shared" ref="I32:Q32" si="9">3*0.75*0.95-I29</f>
        <v>0.63749999999999973</v>
      </c>
      <c r="J32" s="84">
        <f t="shared" si="9"/>
        <v>0.63749999999999973</v>
      </c>
      <c r="K32" s="111">
        <f t="shared" si="9"/>
        <v>0.63749999999999973</v>
      </c>
      <c r="L32" s="110">
        <f t="shared" si="9"/>
        <v>0.63749999999999973</v>
      </c>
      <c r="M32" s="84">
        <f t="shared" si="9"/>
        <v>0.63749999999999973</v>
      </c>
      <c r="N32" s="111">
        <f t="shared" si="9"/>
        <v>0.63749999999999973</v>
      </c>
      <c r="O32" s="110">
        <f t="shared" si="9"/>
        <v>0.63749999999999973</v>
      </c>
      <c r="P32" s="84">
        <f t="shared" si="9"/>
        <v>0.63749999999999973</v>
      </c>
      <c r="Q32" s="111">
        <f t="shared" si="9"/>
        <v>0.63749999999999973</v>
      </c>
      <c r="R32" s="43" t="s">
        <v>77</v>
      </c>
    </row>
    <row r="33" spans="1:18" ht="16.5" thickBot="1">
      <c r="A33" s="79"/>
      <c r="B33" s="94"/>
      <c r="C33" s="112"/>
      <c r="D33" s="85"/>
      <c r="E33" s="113"/>
      <c r="F33" s="112"/>
      <c r="G33" s="85"/>
      <c r="H33" s="113"/>
      <c r="I33" s="112"/>
      <c r="J33" s="85"/>
      <c r="K33" s="113"/>
      <c r="L33" s="112"/>
      <c r="M33" s="85"/>
      <c r="N33" s="113"/>
      <c r="O33" s="112"/>
      <c r="P33" s="85"/>
      <c r="Q33" s="113"/>
    </row>
    <row r="34" spans="1:18" s="52" customFormat="1" ht="17.25" thickTop="1" thickBot="1">
      <c r="A34" s="80" t="s">
        <v>10</v>
      </c>
      <c r="B34" s="95"/>
      <c r="C34" s="114">
        <f>SUM(C21:C33)</f>
        <v>20.299999999999997</v>
      </c>
      <c r="D34" s="86">
        <f t="shared" ref="D34:Q34" si="10">SUM(D21:D33)</f>
        <v>20.299999999999997</v>
      </c>
      <c r="E34" s="115">
        <f t="shared" si="10"/>
        <v>20.299999999999997</v>
      </c>
      <c r="F34" s="114">
        <f t="shared" si="10"/>
        <v>20.299999999999997</v>
      </c>
      <c r="G34" s="86">
        <f t="shared" si="10"/>
        <v>20.299999999999997</v>
      </c>
      <c r="H34" s="115">
        <f t="shared" si="10"/>
        <v>20.299999999999997</v>
      </c>
      <c r="I34" s="114">
        <f t="shared" si="10"/>
        <v>20.937499999999996</v>
      </c>
      <c r="J34" s="86">
        <f t="shared" si="10"/>
        <v>20.937499999999996</v>
      </c>
      <c r="K34" s="115">
        <f t="shared" si="10"/>
        <v>20.937499999999996</v>
      </c>
      <c r="L34" s="114">
        <f t="shared" si="10"/>
        <v>20.937499999999996</v>
      </c>
      <c r="M34" s="86">
        <f t="shared" si="10"/>
        <v>20.937499999999996</v>
      </c>
      <c r="N34" s="115">
        <f t="shared" si="10"/>
        <v>20.937499999999996</v>
      </c>
      <c r="O34" s="114">
        <f t="shared" si="10"/>
        <v>20.937499999999996</v>
      </c>
      <c r="P34" s="86">
        <f t="shared" si="10"/>
        <v>20.937499999999996</v>
      </c>
      <c r="Q34" s="115">
        <f t="shared" si="10"/>
        <v>20.937499999999996</v>
      </c>
    </row>
    <row r="35" spans="1:18" ht="17.25" thickTop="1" thickBot="1">
      <c r="C35" s="116"/>
      <c r="D35" s="68"/>
      <c r="E35" s="117"/>
      <c r="F35" s="116"/>
      <c r="G35" s="68"/>
      <c r="H35" s="117"/>
      <c r="I35" s="116"/>
      <c r="J35" s="68"/>
      <c r="K35" s="117"/>
      <c r="L35" s="116"/>
      <c r="M35" s="68"/>
      <c r="N35" s="117"/>
      <c r="O35" s="116"/>
      <c r="P35" s="68"/>
      <c r="Q35" s="117"/>
    </row>
    <row r="36" spans="1:18" ht="44.45" customHeight="1" thickTop="1" thickBot="1">
      <c r="A36" s="185" t="s">
        <v>70</v>
      </c>
      <c r="B36" s="186"/>
      <c r="C36" s="186"/>
      <c r="D36" s="186"/>
      <c r="E36" s="186"/>
      <c r="F36" s="186"/>
      <c r="G36" s="186"/>
      <c r="H36" s="186"/>
      <c r="I36" s="186"/>
      <c r="J36" s="186"/>
      <c r="K36" s="186"/>
      <c r="L36" s="186"/>
      <c r="M36" s="186"/>
      <c r="N36" s="186"/>
      <c r="O36" s="186"/>
      <c r="P36" s="186"/>
      <c r="Q36" s="187"/>
    </row>
    <row r="37" spans="1:18" s="52" customFormat="1" ht="16.5" customHeight="1" thickTop="1" thickBot="1">
      <c r="A37" s="55" t="s">
        <v>3</v>
      </c>
      <c r="B37" s="89"/>
      <c r="C37" s="172">
        <v>2010</v>
      </c>
      <c r="D37" s="173"/>
      <c r="E37" s="174"/>
      <c r="F37" s="172">
        <v>2015</v>
      </c>
      <c r="G37" s="173"/>
      <c r="H37" s="174"/>
      <c r="I37" s="172">
        <v>2020</v>
      </c>
      <c r="J37" s="173"/>
      <c r="K37" s="174"/>
      <c r="L37" s="172">
        <v>2025</v>
      </c>
      <c r="M37" s="173"/>
      <c r="N37" s="174"/>
      <c r="O37" s="172">
        <v>2030</v>
      </c>
      <c r="P37" s="173"/>
      <c r="Q37" s="174"/>
    </row>
    <row r="38" spans="1:18" s="57" customFormat="1" ht="17.25" thickTop="1" thickBot="1">
      <c r="A38" s="167"/>
      <c r="B38" s="168"/>
      <c r="C38" s="96" t="s">
        <v>24</v>
      </c>
      <c r="D38" s="56" t="s">
        <v>57</v>
      </c>
      <c r="E38" s="97" t="s">
        <v>26</v>
      </c>
      <c r="F38" s="96" t="s">
        <v>24</v>
      </c>
      <c r="G38" s="56" t="s">
        <v>57</v>
      </c>
      <c r="H38" s="97" t="s">
        <v>26</v>
      </c>
      <c r="I38" s="96" t="s">
        <v>24</v>
      </c>
      <c r="J38" s="56" t="s">
        <v>57</v>
      </c>
      <c r="K38" s="97" t="s">
        <v>26</v>
      </c>
      <c r="L38" s="96" t="s">
        <v>24</v>
      </c>
      <c r="M38" s="56" t="s">
        <v>57</v>
      </c>
      <c r="N38" s="97" t="s">
        <v>26</v>
      </c>
      <c r="O38" s="96" t="s">
        <v>24</v>
      </c>
      <c r="P38" s="56" t="s">
        <v>57</v>
      </c>
      <c r="Q38" s="97" t="s">
        <v>26</v>
      </c>
    </row>
    <row r="39" spans="1:18" ht="16.5" thickTop="1">
      <c r="A39" s="74" t="s">
        <v>11</v>
      </c>
      <c r="B39" s="118"/>
      <c r="C39" s="121">
        <f>C34-C16</f>
        <v>3.9720585164782776</v>
      </c>
      <c r="D39" s="70">
        <f t="shared" ref="D39:Q39" si="11">D34-D16</f>
        <v>3.9720585164782776</v>
      </c>
      <c r="E39" s="122">
        <f t="shared" si="11"/>
        <v>3.9720585164782776</v>
      </c>
      <c r="F39" s="121">
        <f t="shared" si="11"/>
        <v>2.6972026233720143</v>
      </c>
      <c r="G39" s="70">
        <f t="shared" si="11"/>
        <v>0.79779648208010556</v>
      </c>
      <c r="H39" s="122">
        <f t="shared" si="11"/>
        <v>0.24147688156100244</v>
      </c>
      <c r="I39" s="121">
        <f t="shared" si="11"/>
        <v>2.7931891882550879</v>
      </c>
      <c r="J39" s="70">
        <f t="shared" si="11"/>
        <v>1.1924471622818231</v>
      </c>
      <c r="K39" s="122">
        <f t="shared" si="11"/>
        <v>0.1888663634643315</v>
      </c>
      <c r="L39" s="121">
        <f t="shared" si="11"/>
        <v>2.1387160591408723</v>
      </c>
      <c r="M39" s="70">
        <f t="shared" si="11"/>
        <v>0.52765809289476806</v>
      </c>
      <c r="N39" s="122">
        <f t="shared" si="11"/>
        <v>-0.50124415463233163</v>
      </c>
      <c r="O39" s="121">
        <f t="shared" si="11"/>
        <v>1.4842429300266744</v>
      </c>
      <c r="P39" s="70">
        <f t="shared" si="11"/>
        <v>-0.13713097649228345</v>
      </c>
      <c r="Q39" s="122">
        <f t="shared" si="11"/>
        <v>-1.2547544238954274</v>
      </c>
      <c r="R39" s="69"/>
    </row>
    <row r="40" spans="1:18">
      <c r="A40" s="75"/>
      <c r="B40" s="119"/>
      <c r="C40" s="123"/>
      <c r="D40" s="71"/>
      <c r="E40" s="124"/>
      <c r="F40" s="123"/>
      <c r="G40" s="71"/>
      <c r="H40" s="124"/>
      <c r="I40" s="123"/>
      <c r="J40" s="71"/>
      <c r="K40" s="124"/>
      <c r="L40" s="123"/>
      <c r="M40" s="71"/>
      <c r="N40" s="124"/>
      <c r="O40" s="123"/>
      <c r="P40" s="71"/>
      <c r="Q40" s="124"/>
      <c r="R40" s="69"/>
    </row>
    <row r="41" spans="1:18" ht="31.5">
      <c r="A41" s="76" t="s">
        <v>12</v>
      </c>
      <c r="B41" s="119"/>
      <c r="C41" s="125">
        <f>C34-C16-C23-C24</f>
        <v>-1.4279414835217223</v>
      </c>
      <c r="D41" s="72">
        <f t="shared" ref="D41:Q41" si="12">D34-D16-D23-D24</f>
        <v>-1.4279414835217223</v>
      </c>
      <c r="E41" s="126">
        <f t="shared" si="12"/>
        <v>-1.4279414835217223</v>
      </c>
      <c r="F41" s="125">
        <f t="shared" si="12"/>
        <v>-2.7027973766279856</v>
      </c>
      <c r="G41" s="72">
        <f t="shared" si="12"/>
        <v>-4.6022035179198948</v>
      </c>
      <c r="H41" s="126">
        <f t="shared" si="12"/>
        <v>-5.1585231184389979</v>
      </c>
      <c r="I41" s="125">
        <f t="shared" si="12"/>
        <v>-2.606810811744912</v>
      </c>
      <c r="J41" s="72">
        <f t="shared" si="12"/>
        <v>-4.2075528377181772</v>
      </c>
      <c r="K41" s="126">
        <f t="shared" si="12"/>
        <v>-5.2111336365356689</v>
      </c>
      <c r="L41" s="125">
        <f t="shared" si="12"/>
        <v>-3.2612839408591277</v>
      </c>
      <c r="M41" s="72">
        <f t="shared" si="12"/>
        <v>-4.8723419071052323</v>
      </c>
      <c r="N41" s="126">
        <f t="shared" si="12"/>
        <v>-5.901244154632332</v>
      </c>
      <c r="O41" s="125">
        <f t="shared" si="12"/>
        <v>-3.9157570699733255</v>
      </c>
      <c r="P41" s="72">
        <f t="shared" si="12"/>
        <v>-5.5371309764922838</v>
      </c>
      <c r="Q41" s="126">
        <f t="shared" si="12"/>
        <v>-6.6547544238954277</v>
      </c>
      <c r="R41" s="69"/>
    </row>
    <row r="42" spans="1:18">
      <c r="A42" s="75"/>
      <c r="B42" s="119"/>
      <c r="C42" s="123"/>
      <c r="D42" s="71"/>
      <c r="E42" s="124"/>
      <c r="F42" s="123"/>
      <c r="G42" s="71"/>
      <c r="H42" s="124"/>
      <c r="I42" s="123"/>
      <c r="J42" s="71"/>
      <c r="K42" s="124"/>
      <c r="L42" s="123"/>
      <c r="M42" s="71"/>
      <c r="N42" s="124"/>
      <c r="O42" s="123"/>
      <c r="P42" s="71"/>
      <c r="Q42" s="124"/>
      <c r="R42" s="69"/>
    </row>
    <row r="43" spans="1:18">
      <c r="A43" s="77" t="s">
        <v>68</v>
      </c>
      <c r="B43" s="119"/>
      <c r="C43" s="125">
        <f>C34-C16-C27</f>
        <v>0.97205851647827757</v>
      </c>
      <c r="D43" s="72">
        <f t="shared" ref="D43:Q43" si="13">D34-D16-D27</f>
        <v>0.97205851647827757</v>
      </c>
      <c r="E43" s="126">
        <f t="shared" si="13"/>
        <v>0.97205851647827757</v>
      </c>
      <c r="F43" s="125">
        <f t="shared" si="13"/>
        <v>-0.30279737662798567</v>
      </c>
      <c r="G43" s="72">
        <f t="shared" si="13"/>
        <v>-2.2022035179198944</v>
      </c>
      <c r="H43" s="126">
        <f t="shared" si="13"/>
        <v>-2.7585231184389976</v>
      </c>
      <c r="I43" s="125">
        <f t="shared" si="13"/>
        <v>-0.20681081174491212</v>
      </c>
      <c r="J43" s="72">
        <f t="shared" si="13"/>
        <v>-1.8075528377181769</v>
      </c>
      <c r="K43" s="126">
        <f t="shared" si="13"/>
        <v>-2.8111336365356685</v>
      </c>
      <c r="L43" s="125">
        <f t="shared" si="13"/>
        <v>-0.86128394085912774</v>
      </c>
      <c r="M43" s="72">
        <f t="shared" si="13"/>
        <v>-2.4723419071052319</v>
      </c>
      <c r="N43" s="126">
        <f t="shared" si="13"/>
        <v>-3.5012441546323316</v>
      </c>
      <c r="O43" s="125">
        <f t="shared" si="13"/>
        <v>-1.5157570699733256</v>
      </c>
      <c r="P43" s="72">
        <f t="shared" si="13"/>
        <v>-3.1371309764922835</v>
      </c>
      <c r="Q43" s="126">
        <f t="shared" si="13"/>
        <v>-4.2547544238954274</v>
      </c>
      <c r="R43" s="69"/>
    </row>
    <row r="44" spans="1:18">
      <c r="A44" s="75"/>
      <c r="B44" s="119"/>
      <c r="C44" s="123"/>
      <c r="D44" s="71"/>
      <c r="E44" s="124"/>
      <c r="F44" s="123"/>
      <c r="G44" s="71"/>
      <c r="H44" s="124"/>
      <c r="I44" s="123"/>
      <c r="J44" s="71"/>
      <c r="K44" s="124"/>
      <c r="L44" s="123"/>
      <c r="M44" s="71"/>
      <c r="N44" s="124"/>
      <c r="O44" s="123"/>
      <c r="P44" s="71"/>
      <c r="Q44" s="124"/>
      <c r="R44" s="69"/>
    </row>
    <row r="45" spans="1:18" ht="32.25" thickBot="1">
      <c r="A45" s="81" t="s">
        <v>30</v>
      </c>
      <c r="B45" s="120"/>
      <c r="C45" s="127">
        <f>C34-C16-C26-C28-C21</f>
        <v>-3.4279414835217223</v>
      </c>
      <c r="D45" s="82">
        <f t="shared" ref="D45:Q45" si="14">D34-D16-D26-D28-D21</f>
        <v>-3.4279414835217223</v>
      </c>
      <c r="E45" s="128">
        <f t="shared" si="14"/>
        <v>-3.4279414835217223</v>
      </c>
      <c r="F45" s="127">
        <f t="shared" si="14"/>
        <v>-4.702797376627986</v>
      </c>
      <c r="G45" s="82">
        <f t="shared" si="14"/>
        <v>-6.6022035179198948</v>
      </c>
      <c r="H45" s="128">
        <f t="shared" si="14"/>
        <v>-7.1585231184389979</v>
      </c>
      <c r="I45" s="127">
        <f t="shared" si="14"/>
        <v>-4.6068108117449125</v>
      </c>
      <c r="J45" s="82">
        <f t="shared" si="14"/>
        <v>-6.2075528377181772</v>
      </c>
      <c r="K45" s="128">
        <f t="shared" si="14"/>
        <v>-7.2111336365356689</v>
      </c>
      <c r="L45" s="127">
        <f t="shared" si="14"/>
        <v>-5.2612839408591281</v>
      </c>
      <c r="M45" s="82">
        <f t="shared" si="14"/>
        <v>-6.8723419071052323</v>
      </c>
      <c r="N45" s="128">
        <f t="shared" si="14"/>
        <v>-7.901244154632332</v>
      </c>
      <c r="O45" s="127">
        <f t="shared" si="14"/>
        <v>-5.915757069973326</v>
      </c>
      <c r="P45" s="82">
        <f t="shared" si="14"/>
        <v>-7.5371309764922838</v>
      </c>
      <c r="Q45" s="128">
        <f t="shared" si="14"/>
        <v>-8.6547544238954277</v>
      </c>
      <c r="R45" s="69"/>
    </row>
    <row r="46" spans="1:18" ht="16.5" thickTop="1"/>
  </sheetData>
  <mergeCells count="21">
    <mergeCell ref="A15:B15"/>
    <mergeCell ref="L37:N37"/>
    <mergeCell ref="O37:Q37"/>
    <mergeCell ref="A13:B13"/>
    <mergeCell ref="A12:B12"/>
    <mergeCell ref="A38:B38"/>
    <mergeCell ref="A7:Q7"/>
    <mergeCell ref="C9:E9"/>
    <mergeCell ref="F9:H9"/>
    <mergeCell ref="O9:Q9"/>
    <mergeCell ref="I9:K9"/>
    <mergeCell ref="L9:N9"/>
    <mergeCell ref="A10:B10"/>
    <mergeCell ref="C37:E37"/>
    <mergeCell ref="F37:H37"/>
    <mergeCell ref="I37:K37"/>
    <mergeCell ref="A36:Q36"/>
    <mergeCell ref="A16:B16"/>
    <mergeCell ref="A17:B17"/>
    <mergeCell ref="A11:B11"/>
    <mergeCell ref="A14:B14"/>
  </mergeCells>
  <conditionalFormatting sqref="C39:Q45">
    <cfRule type="cellIs" dxfId="3" priority="2" operator="lessThan">
      <formula>0</formula>
    </cfRule>
  </conditionalFormatting>
  <conditionalFormatting sqref="C39:Q45">
    <cfRule type="cellIs" dxfId="2" priority="1" operator="lessThan">
      <formula>0</formula>
    </cfRule>
  </conditionalFormatting>
  <printOptions horizontalCentered="1" verticalCentered="1"/>
  <pageMargins left="0.2" right="0.2" top="0.25" bottom="0.25" header="0.3" footer="0.3"/>
  <pageSetup scale="72" orientation="portrait"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V46"/>
  <sheetViews>
    <sheetView zoomScale="90" zoomScaleNormal="90" workbookViewId="0">
      <selection activeCell="R11" sqref="R11"/>
    </sheetView>
  </sheetViews>
  <sheetFormatPr defaultRowHeight="15.75"/>
  <cols>
    <col min="1" max="1" width="28.85546875" style="43" customWidth="1"/>
    <col min="2" max="2" width="9.140625" style="43"/>
    <col min="3" max="3" width="8.85546875" style="43" customWidth="1"/>
    <col min="4" max="4" width="9.140625" style="43"/>
    <col min="5" max="5" width="10.28515625" style="43" bestFit="1" customWidth="1"/>
    <col min="6" max="17" width="9.140625" style="43"/>
    <col min="18" max="18" width="41.42578125" style="43" bestFit="1" customWidth="1"/>
    <col min="19" max="16384" width="9.140625" style="43"/>
  </cols>
  <sheetData>
    <row r="1" spans="1:22" ht="23.25">
      <c r="A1" s="161" t="s">
        <v>98</v>
      </c>
    </row>
    <row r="2" spans="1:22" ht="23.25">
      <c r="A2" s="161"/>
    </row>
    <row r="3" spans="1:22" ht="23.25">
      <c r="A3" s="161"/>
    </row>
    <row r="4" spans="1:22" ht="23.25">
      <c r="A4" s="161"/>
    </row>
    <row r="5" spans="1:22" ht="23.25">
      <c r="A5" s="161"/>
    </row>
    <row r="6" spans="1:22" ht="23.25">
      <c r="A6" s="161"/>
    </row>
    <row r="7" spans="1:22" s="73" customFormat="1" ht="21">
      <c r="A7" s="188" t="s">
        <v>91</v>
      </c>
      <c r="B7" s="188"/>
      <c r="C7" s="188"/>
      <c r="D7" s="188"/>
      <c r="E7" s="188"/>
      <c r="F7" s="188"/>
      <c r="G7" s="188"/>
      <c r="H7" s="188"/>
      <c r="I7" s="188"/>
      <c r="J7" s="188"/>
      <c r="K7" s="188"/>
      <c r="L7" s="188"/>
      <c r="M7" s="188"/>
      <c r="N7" s="188"/>
      <c r="O7" s="188"/>
      <c r="P7" s="188"/>
      <c r="Q7" s="188"/>
    </row>
    <row r="8" spans="1:22" ht="16.5" thickBot="1"/>
    <row r="9" spans="1:22" s="52" customFormat="1" ht="16.5" customHeight="1" thickTop="1" thickBot="1">
      <c r="A9" s="55" t="s">
        <v>3</v>
      </c>
      <c r="B9" s="89"/>
      <c r="C9" s="172">
        <v>2010</v>
      </c>
      <c r="D9" s="173"/>
      <c r="E9" s="174"/>
      <c r="F9" s="172">
        <v>2015</v>
      </c>
      <c r="G9" s="173"/>
      <c r="H9" s="174"/>
      <c r="I9" s="172">
        <v>2020</v>
      </c>
      <c r="J9" s="173"/>
      <c r="K9" s="174"/>
      <c r="L9" s="172">
        <v>2025</v>
      </c>
      <c r="M9" s="173"/>
      <c r="N9" s="174"/>
      <c r="O9" s="172">
        <v>2030</v>
      </c>
      <c r="P9" s="173"/>
      <c r="Q9" s="174"/>
    </row>
    <row r="10" spans="1:22" s="57" customFormat="1" ht="16.5" thickTop="1">
      <c r="A10" s="167"/>
      <c r="B10" s="168"/>
      <c r="C10" s="96" t="s">
        <v>24</v>
      </c>
      <c r="D10" s="56" t="s">
        <v>57</v>
      </c>
      <c r="E10" s="97" t="s">
        <v>26</v>
      </c>
      <c r="F10" s="96" t="s">
        <v>24</v>
      </c>
      <c r="G10" s="56" t="s">
        <v>57</v>
      </c>
      <c r="H10" s="97" t="s">
        <v>26</v>
      </c>
      <c r="I10" s="96" t="s">
        <v>24</v>
      </c>
      <c r="J10" s="56" t="s">
        <v>57</v>
      </c>
      <c r="K10" s="97" t="s">
        <v>26</v>
      </c>
      <c r="L10" s="96" t="s">
        <v>24</v>
      </c>
      <c r="M10" s="56" t="s">
        <v>57</v>
      </c>
      <c r="N10" s="97" t="s">
        <v>26</v>
      </c>
      <c r="O10" s="96" t="s">
        <v>24</v>
      </c>
      <c r="P10" s="56" t="s">
        <v>57</v>
      </c>
      <c r="Q10" s="97" t="s">
        <v>26</v>
      </c>
    </row>
    <row r="11" spans="1:22" ht="39" customHeight="1">
      <c r="A11" s="189" t="s">
        <v>58</v>
      </c>
      <c r="B11" s="190"/>
      <c r="C11" s="98">
        <f>'Low Maximum Day by Zone'!B26</f>
        <v>8.782097632000001</v>
      </c>
      <c r="D11" s="58">
        <f>'Median Maximum Day by Zone'!B26</f>
        <v>8.782097632000001</v>
      </c>
      <c r="E11" s="99">
        <f>'High Maximum Day by Zone'!B26</f>
        <v>8.782097632000001</v>
      </c>
      <c r="F11" s="98">
        <f>'Low Maximum Day by Zone'!C26</f>
        <v>9.0169407608000007</v>
      </c>
      <c r="G11" s="58">
        <f>'Median Maximum Day by Zone'!C26</f>
        <v>9.4776568460000004</v>
      </c>
      <c r="H11" s="99">
        <f>'High Maximum Day by Zone'!C26</f>
        <v>10.250760079999999</v>
      </c>
      <c r="I11" s="98">
        <f>'Low Maximum Day by Zone'!D26</f>
        <v>8.8718587189333338</v>
      </c>
      <c r="J11" s="58">
        <f>'Median Maximum Day by Zone'!D26</f>
        <v>9.6020551381333359</v>
      </c>
      <c r="K11" s="99">
        <f>'High Maximum Day by Zone'!D26</f>
        <v>10.621940853333333</v>
      </c>
      <c r="L11" s="98">
        <f>'Low Maximum Day by Zone'!E26</f>
        <v>9.1918704954666701</v>
      </c>
      <c r="M11" s="58">
        <f>'Median Maximum Day by Zone'!E26</f>
        <v>9.9425898570666682</v>
      </c>
      <c r="N11" s="99">
        <f>'High Maximum Day by Zone'!E26</f>
        <v>10.993121626666667</v>
      </c>
      <c r="O11" s="98">
        <f>'Low Maximum Day by Zone'!F26</f>
        <v>9.5118822720000011</v>
      </c>
      <c r="P11" s="58">
        <f>'Median Maximum Day by Zone'!F26</f>
        <v>10.283124576000001</v>
      </c>
      <c r="Q11" s="99">
        <f>'High Maximum Day by Zone'!F26</f>
        <v>11.398402400000002</v>
      </c>
    </row>
    <row r="12" spans="1:22">
      <c r="A12" s="177"/>
      <c r="B12" s="178"/>
      <c r="C12" s="98"/>
      <c r="D12" s="58"/>
      <c r="E12" s="99"/>
      <c r="F12" s="98"/>
      <c r="G12" s="58"/>
      <c r="H12" s="99"/>
      <c r="I12" s="98"/>
      <c r="J12" s="58"/>
      <c r="K12" s="99"/>
      <c r="L12" s="98"/>
      <c r="M12" s="58"/>
      <c r="N12" s="99"/>
      <c r="O12" s="98"/>
      <c r="P12" s="58"/>
      <c r="Q12" s="99"/>
    </row>
    <row r="13" spans="1:22">
      <c r="A13" s="177"/>
      <c r="B13" s="178"/>
      <c r="C13" s="98"/>
      <c r="D13" s="58"/>
      <c r="E13" s="99"/>
      <c r="F13" s="98"/>
      <c r="G13" s="58"/>
      <c r="H13" s="99"/>
      <c r="I13" s="98"/>
      <c r="J13" s="58"/>
      <c r="K13" s="99"/>
      <c r="L13" s="98"/>
      <c r="M13" s="58"/>
      <c r="N13" s="99"/>
      <c r="O13" s="98"/>
      <c r="P13" s="58"/>
      <c r="Q13" s="99"/>
      <c r="R13" s="156" t="s">
        <v>72</v>
      </c>
    </row>
    <row r="14" spans="1:22" ht="30.75" customHeight="1">
      <c r="A14" s="179" t="s">
        <v>71</v>
      </c>
      <c r="B14" s="180"/>
      <c r="C14" s="98">
        <f>'Low Maximum Day by Zone'!B34*R14</f>
        <v>13.715470846158244</v>
      </c>
      <c r="D14" s="58">
        <f>'Median Maximum Day by Zone'!B34*R14</f>
        <v>13.715470846158244</v>
      </c>
      <c r="E14" s="99">
        <f>'High Maximum Day by Zone'!B34*R14</f>
        <v>13.715470846158244</v>
      </c>
      <c r="F14" s="98">
        <f>'Low Maximum Day by Zone'!C34*R14</f>
        <v>14.786349796367505</v>
      </c>
      <c r="G14" s="58">
        <f>'Median Maximum Day by Zone'!C34*R14</f>
        <v>15.541850955052709</v>
      </c>
      <c r="H14" s="99">
        <f>'High Maximum Day by Zone'!C34*R14</f>
        <v>16.009159419488753</v>
      </c>
      <c r="I14" s="98">
        <f>'Low Maximum Day by Zone'!D34*R14</f>
        <v>15.241221081865723</v>
      </c>
      <c r="J14" s="58">
        <f>'Median Maximum Day by Zone'!D34*R14</f>
        <v>15.745844383683265</v>
      </c>
      <c r="K14" s="99">
        <f>'High Maximum Day by Zone'!D34*R14</f>
        <v>16.588852254689957</v>
      </c>
      <c r="L14" s="98">
        <f>'Low Maximum Day by Zone'!E34*R14</f>
        <v>15.790978510321663</v>
      </c>
      <c r="M14" s="58">
        <f>'Median Maximum Day by Zone'!E34*R14</f>
        <v>16.30426720196839</v>
      </c>
      <c r="N14" s="99">
        <f>'High Maximum Day by Zone'!E34*R14</f>
        <v>17.168545089891154</v>
      </c>
      <c r="O14" s="98">
        <f>'Low Maximum Day by Zone'!F34*R14</f>
        <v>16.340735938777591</v>
      </c>
      <c r="P14" s="58">
        <f>'Median Maximum Day by Zone'!F34*R14</f>
        <v>16.862690020253513</v>
      </c>
      <c r="Q14" s="99">
        <f>'High Maximum Day by Zone'!F34*R14</f>
        <v>17.801493716072155</v>
      </c>
      <c r="R14" s="87">
        <v>0.84</v>
      </c>
      <c r="T14" s="88"/>
      <c r="U14" s="88"/>
      <c r="V14" s="88"/>
    </row>
    <row r="15" spans="1:22">
      <c r="A15" s="169" t="s">
        <v>60</v>
      </c>
      <c r="B15" s="170"/>
      <c r="C15" s="98">
        <v>0</v>
      </c>
      <c r="D15" s="58">
        <v>0</v>
      </c>
      <c r="E15" s="99">
        <v>0</v>
      </c>
      <c r="F15" s="98">
        <v>0</v>
      </c>
      <c r="G15" s="58">
        <v>0.84</v>
      </c>
      <c r="H15" s="99">
        <v>0.84</v>
      </c>
      <c r="I15" s="98">
        <v>0</v>
      </c>
      <c r="J15" s="58">
        <v>0.84</v>
      </c>
      <c r="K15" s="99">
        <v>0.84</v>
      </c>
      <c r="L15" s="98">
        <v>0</v>
      </c>
      <c r="M15" s="58">
        <v>0.84</v>
      </c>
      <c r="N15" s="99">
        <v>0.84</v>
      </c>
      <c r="O15" s="98">
        <v>0</v>
      </c>
      <c r="P15" s="58">
        <v>0.84</v>
      </c>
      <c r="Q15" s="99">
        <v>0.84</v>
      </c>
    </row>
    <row r="16" spans="1:22">
      <c r="A16" s="181" t="s">
        <v>54</v>
      </c>
      <c r="B16" s="182"/>
      <c r="C16" s="100">
        <f>SUM(C14:C15)</f>
        <v>13.715470846158244</v>
      </c>
      <c r="D16" s="59">
        <f t="shared" ref="D16:E16" si="0">SUM(D14:D15)</f>
        <v>13.715470846158244</v>
      </c>
      <c r="E16" s="101">
        <f t="shared" si="0"/>
        <v>13.715470846158244</v>
      </c>
      <c r="F16" s="100">
        <f>SUM(F14:F15)</f>
        <v>14.786349796367505</v>
      </c>
      <c r="G16" s="59">
        <f t="shared" ref="G16:H16" si="1">SUM(G14:G15)</f>
        <v>16.381850955052709</v>
      </c>
      <c r="H16" s="101">
        <f t="shared" si="1"/>
        <v>16.849159419488753</v>
      </c>
      <c r="I16" s="100">
        <f>SUM(I14:I15)</f>
        <v>15.241221081865723</v>
      </c>
      <c r="J16" s="59">
        <f t="shared" ref="J16:K16" si="2">SUM(J14:J15)</f>
        <v>16.585844383683266</v>
      </c>
      <c r="K16" s="101">
        <f t="shared" si="2"/>
        <v>17.428852254689957</v>
      </c>
      <c r="L16" s="100">
        <f>SUM(L14:L15)</f>
        <v>15.790978510321663</v>
      </c>
      <c r="M16" s="59">
        <f t="shared" ref="M16:N16" si="3">SUM(M14:M15)</f>
        <v>17.14426720196839</v>
      </c>
      <c r="N16" s="101">
        <f t="shared" si="3"/>
        <v>18.008545089891154</v>
      </c>
      <c r="O16" s="100">
        <f>SUM(O14:O15)</f>
        <v>16.340735938777591</v>
      </c>
      <c r="P16" s="59">
        <f t="shared" ref="P16:Q16" si="4">SUM(P14:P15)</f>
        <v>17.702690020253513</v>
      </c>
      <c r="Q16" s="101">
        <f t="shared" si="4"/>
        <v>18.641493716072155</v>
      </c>
    </row>
    <row r="17" spans="1:18" ht="16.5" thickBot="1">
      <c r="A17" s="183"/>
      <c r="B17" s="184"/>
      <c r="C17" s="102"/>
      <c r="D17" s="60"/>
      <c r="E17" s="103"/>
      <c r="F17" s="102"/>
      <c r="G17" s="60"/>
      <c r="H17" s="103"/>
      <c r="I17" s="102"/>
      <c r="J17" s="60"/>
      <c r="K17" s="103"/>
      <c r="L17" s="102"/>
      <c r="M17" s="60"/>
      <c r="N17" s="103"/>
      <c r="O17" s="102"/>
      <c r="P17" s="60"/>
      <c r="Q17" s="103"/>
    </row>
    <row r="18" spans="1:18" ht="17.25" thickTop="1" thickBot="1">
      <c r="A18" s="61"/>
      <c r="C18" s="104"/>
      <c r="D18" s="67"/>
      <c r="E18" s="105"/>
      <c r="F18" s="104"/>
      <c r="G18" s="67"/>
      <c r="H18" s="105"/>
      <c r="I18" s="104"/>
      <c r="J18" s="67"/>
      <c r="K18" s="105"/>
      <c r="L18" s="104"/>
      <c r="M18" s="67"/>
      <c r="N18" s="105"/>
      <c r="O18" s="104"/>
      <c r="P18" s="67"/>
      <c r="Q18" s="105"/>
    </row>
    <row r="19" spans="1:18" ht="30" customHeight="1" thickTop="1" thickBot="1">
      <c r="A19" s="62" t="s">
        <v>46</v>
      </c>
      <c r="B19" s="90" t="s">
        <v>1</v>
      </c>
      <c r="C19" s="106" t="s">
        <v>2</v>
      </c>
      <c r="D19" s="63" t="s">
        <v>2</v>
      </c>
      <c r="E19" s="107" t="s">
        <v>2</v>
      </c>
      <c r="F19" s="106" t="s">
        <v>2</v>
      </c>
      <c r="G19" s="63" t="s">
        <v>2</v>
      </c>
      <c r="H19" s="107" t="s">
        <v>2</v>
      </c>
      <c r="I19" s="106" t="s">
        <v>2</v>
      </c>
      <c r="J19" s="63" t="s">
        <v>2</v>
      </c>
      <c r="K19" s="107" t="s">
        <v>2</v>
      </c>
      <c r="L19" s="106" t="s">
        <v>2</v>
      </c>
      <c r="M19" s="63" t="s">
        <v>2</v>
      </c>
      <c r="N19" s="107" t="s">
        <v>2</v>
      </c>
      <c r="O19" s="106" t="s">
        <v>2</v>
      </c>
      <c r="P19" s="63" t="s">
        <v>2</v>
      </c>
      <c r="Q19" s="107" t="s">
        <v>2</v>
      </c>
    </row>
    <row r="20" spans="1:18" ht="16.5" thickTop="1">
      <c r="A20" s="64"/>
      <c r="B20" s="91"/>
      <c r="C20" s="108"/>
      <c r="D20" s="83"/>
      <c r="E20" s="109"/>
      <c r="F20" s="108"/>
      <c r="G20" s="83"/>
      <c r="H20" s="109"/>
      <c r="I20" s="108"/>
      <c r="J20" s="83"/>
      <c r="K20" s="109"/>
      <c r="L20" s="108"/>
      <c r="M20" s="83"/>
      <c r="N20" s="109"/>
      <c r="O20" s="108"/>
      <c r="P20" s="83"/>
      <c r="Q20" s="109"/>
    </row>
    <row r="21" spans="1:18">
      <c r="A21" s="65" t="s">
        <v>67</v>
      </c>
      <c r="B21" s="92">
        <v>25</v>
      </c>
      <c r="C21" s="110">
        <v>3</v>
      </c>
      <c r="D21" s="84">
        <v>3</v>
      </c>
      <c r="E21" s="111">
        <v>3</v>
      </c>
      <c r="F21" s="110">
        <v>3</v>
      </c>
      <c r="G21" s="84">
        <v>3</v>
      </c>
      <c r="H21" s="111">
        <v>3</v>
      </c>
      <c r="I21" s="110">
        <v>3</v>
      </c>
      <c r="J21" s="84">
        <v>3</v>
      </c>
      <c r="K21" s="111">
        <v>3</v>
      </c>
      <c r="L21" s="110">
        <v>3</v>
      </c>
      <c r="M21" s="84">
        <v>3</v>
      </c>
      <c r="N21" s="111">
        <v>3</v>
      </c>
      <c r="O21" s="110">
        <v>3</v>
      </c>
      <c r="P21" s="84">
        <v>3</v>
      </c>
      <c r="Q21" s="111">
        <v>3</v>
      </c>
    </row>
    <row r="22" spans="1:18">
      <c r="A22" s="65">
        <v>5</v>
      </c>
      <c r="B22" s="92" t="s">
        <v>9</v>
      </c>
      <c r="C22" s="110"/>
      <c r="D22" s="84"/>
      <c r="E22" s="111"/>
      <c r="F22" s="110"/>
      <c r="G22" s="84"/>
      <c r="H22" s="111"/>
      <c r="I22" s="110"/>
      <c r="J22" s="84"/>
      <c r="K22" s="111"/>
      <c r="L22" s="110"/>
      <c r="M22" s="84"/>
      <c r="N22" s="111"/>
      <c r="O22" s="110"/>
      <c r="P22" s="84"/>
      <c r="Q22" s="111"/>
    </row>
    <row r="23" spans="1:18">
      <c r="A23" s="65" t="s">
        <v>8</v>
      </c>
      <c r="B23" s="92">
        <v>7</v>
      </c>
      <c r="C23" s="110">
        <v>3</v>
      </c>
      <c r="D23" s="84">
        <v>3</v>
      </c>
      <c r="E23" s="111">
        <v>3</v>
      </c>
      <c r="F23" s="110">
        <v>3</v>
      </c>
      <c r="G23" s="84">
        <v>3</v>
      </c>
      <c r="H23" s="111">
        <v>3</v>
      </c>
      <c r="I23" s="110">
        <v>3</v>
      </c>
      <c r="J23" s="84">
        <v>3</v>
      </c>
      <c r="K23" s="111">
        <v>3</v>
      </c>
      <c r="L23" s="110">
        <v>3</v>
      </c>
      <c r="M23" s="84">
        <v>3</v>
      </c>
      <c r="N23" s="111">
        <v>3</v>
      </c>
      <c r="O23" s="110">
        <v>3</v>
      </c>
      <c r="P23" s="84">
        <v>3</v>
      </c>
      <c r="Q23" s="111">
        <v>3</v>
      </c>
    </row>
    <row r="24" spans="1:18">
      <c r="A24" s="66"/>
      <c r="B24" s="92">
        <v>8</v>
      </c>
      <c r="C24" s="110">
        <v>2.4</v>
      </c>
      <c r="D24" s="84">
        <v>2.4</v>
      </c>
      <c r="E24" s="111">
        <v>2.4</v>
      </c>
      <c r="F24" s="110">
        <v>2.4</v>
      </c>
      <c r="G24" s="84">
        <v>2.4</v>
      </c>
      <c r="H24" s="111">
        <v>2.4</v>
      </c>
      <c r="I24" s="110">
        <v>2.4</v>
      </c>
      <c r="J24" s="84">
        <v>2.4</v>
      </c>
      <c r="K24" s="111">
        <v>2.4</v>
      </c>
      <c r="L24" s="110">
        <v>2.4</v>
      </c>
      <c r="M24" s="84">
        <v>2.4</v>
      </c>
      <c r="N24" s="111">
        <v>2.4</v>
      </c>
      <c r="O24" s="110">
        <v>2.4</v>
      </c>
      <c r="P24" s="84">
        <v>2.4</v>
      </c>
      <c r="Q24" s="111">
        <v>2.4</v>
      </c>
    </row>
    <row r="25" spans="1:18">
      <c r="A25" s="66"/>
      <c r="B25" s="92">
        <v>11</v>
      </c>
      <c r="C25" s="110">
        <v>3</v>
      </c>
      <c r="D25" s="84">
        <v>3</v>
      </c>
      <c r="E25" s="111">
        <v>3</v>
      </c>
      <c r="F25" s="110">
        <v>3</v>
      </c>
      <c r="G25" s="84">
        <v>3</v>
      </c>
      <c r="H25" s="111">
        <v>3</v>
      </c>
      <c r="I25" s="110">
        <v>3</v>
      </c>
      <c r="J25" s="84">
        <v>3</v>
      </c>
      <c r="K25" s="111">
        <v>3</v>
      </c>
      <c r="L25" s="110">
        <v>3</v>
      </c>
      <c r="M25" s="84">
        <v>3</v>
      </c>
      <c r="N25" s="111">
        <v>3</v>
      </c>
      <c r="O25" s="110">
        <v>3</v>
      </c>
      <c r="P25" s="84">
        <v>3</v>
      </c>
      <c r="Q25" s="111">
        <v>3</v>
      </c>
    </row>
    <row r="26" spans="1:18">
      <c r="A26" s="66"/>
      <c r="B26" s="92">
        <v>13</v>
      </c>
      <c r="C26" s="110">
        <v>3</v>
      </c>
      <c r="D26" s="84">
        <v>3</v>
      </c>
      <c r="E26" s="111">
        <v>3</v>
      </c>
      <c r="F26" s="110">
        <v>3</v>
      </c>
      <c r="G26" s="84">
        <v>3</v>
      </c>
      <c r="H26" s="111">
        <v>3</v>
      </c>
      <c r="I26" s="110">
        <v>3</v>
      </c>
      <c r="J26" s="84">
        <v>3</v>
      </c>
      <c r="K26" s="111">
        <v>3</v>
      </c>
      <c r="L26" s="110">
        <v>3</v>
      </c>
      <c r="M26" s="84">
        <v>3</v>
      </c>
      <c r="N26" s="111">
        <v>3</v>
      </c>
      <c r="O26" s="110">
        <v>3</v>
      </c>
      <c r="P26" s="84">
        <v>3</v>
      </c>
      <c r="Q26" s="111">
        <v>3</v>
      </c>
    </row>
    <row r="27" spans="1:18">
      <c r="A27" s="66"/>
      <c r="B27" s="92">
        <v>15</v>
      </c>
      <c r="C27" s="110">
        <v>3</v>
      </c>
      <c r="D27" s="84">
        <v>3</v>
      </c>
      <c r="E27" s="111">
        <v>3</v>
      </c>
      <c r="F27" s="110">
        <v>3</v>
      </c>
      <c r="G27" s="84">
        <v>3</v>
      </c>
      <c r="H27" s="111">
        <v>3</v>
      </c>
      <c r="I27" s="110">
        <v>3</v>
      </c>
      <c r="J27" s="84">
        <v>3</v>
      </c>
      <c r="K27" s="111">
        <v>3</v>
      </c>
      <c r="L27" s="110">
        <v>3</v>
      </c>
      <c r="M27" s="84">
        <v>3</v>
      </c>
      <c r="N27" s="111">
        <v>3</v>
      </c>
      <c r="O27" s="110">
        <v>3</v>
      </c>
      <c r="P27" s="84">
        <v>3</v>
      </c>
      <c r="Q27" s="111">
        <v>3</v>
      </c>
    </row>
    <row r="28" spans="1:18">
      <c r="A28" s="66"/>
      <c r="B28" s="92">
        <v>23</v>
      </c>
      <c r="C28" s="110">
        <v>1.4</v>
      </c>
      <c r="D28" s="84">
        <v>1.4</v>
      </c>
      <c r="E28" s="111">
        <v>1.4</v>
      </c>
      <c r="F28" s="110">
        <v>1.4</v>
      </c>
      <c r="G28" s="84">
        <v>1.4</v>
      </c>
      <c r="H28" s="111">
        <v>1.4</v>
      </c>
      <c r="I28" s="110">
        <v>1.4</v>
      </c>
      <c r="J28" s="84">
        <v>1.4</v>
      </c>
      <c r="K28" s="111">
        <v>1.4</v>
      </c>
      <c r="L28" s="110">
        <v>1.4</v>
      </c>
      <c r="M28" s="84">
        <v>1.4</v>
      </c>
      <c r="N28" s="111">
        <v>1.4</v>
      </c>
      <c r="O28" s="110">
        <v>1.4</v>
      </c>
      <c r="P28" s="84">
        <v>1.4</v>
      </c>
      <c r="Q28" s="111">
        <v>1.4</v>
      </c>
    </row>
    <row r="29" spans="1:18">
      <c r="A29" s="66"/>
      <c r="B29" s="92">
        <v>29</v>
      </c>
      <c r="C29" s="110">
        <v>1.5</v>
      </c>
      <c r="D29" s="84">
        <v>1.5</v>
      </c>
      <c r="E29" s="111">
        <v>1.5</v>
      </c>
      <c r="F29" s="110">
        <v>1.5</v>
      </c>
      <c r="G29" s="84">
        <v>1.5</v>
      </c>
      <c r="H29" s="111">
        <v>1.5</v>
      </c>
      <c r="I29" s="110">
        <v>1.5</v>
      </c>
      <c r="J29" s="84">
        <v>1.5</v>
      </c>
      <c r="K29" s="111">
        <v>1.5</v>
      </c>
      <c r="L29" s="110">
        <v>1.5</v>
      </c>
      <c r="M29" s="84">
        <v>1.5</v>
      </c>
      <c r="N29" s="111">
        <v>1.5</v>
      </c>
      <c r="O29" s="110">
        <v>1.5</v>
      </c>
      <c r="P29" s="84">
        <v>1.5</v>
      </c>
      <c r="Q29" s="111">
        <v>1.5</v>
      </c>
    </row>
    <row r="30" spans="1:18">
      <c r="A30" s="66"/>
      <c r="B30" s="93"/>
      <c r="C30" s="110"/>
      <c r="D30" s="84"/>
      <c r="E30" s="111"/>
      <c r="F30" s="110"/>
      <c r="G30" s="84"/>
      <c r="H30" s="111"/>
      <c r="I30" s="110"/>
      <c r="J30" s="84"/>
      <c r="K30" s="111"/>
      <c r="L30" s="110"/>
      <c r="M30" s="84"/>
      <c r="N30" s="111"/>
      <c r="O30" s="110"/>
      <c r="P30" s="84"/>
      <c r="Q30" s="111"/>
    </row>
    <row r="31" spans="1:18">
      <c r="A31" s="78" t="s">
        <v>69</v>
      </c>
      <c r="B31" s="93"/>
      <c r="C31" s="110"/>
      <c r="D31" s="84"/>
      <c r="E31" s="111"/>
      <c r="F31" s="110"/>
      <c r="G31" s="84"/>
      <c r="H31" s="111"/>
      <c r="I31" s="110"/>
      <c r="J31" s="84"/>
      <c r="K31" s="111"/>
      <c r="L31" s="110"/>
      <c r="M31" s="84"/>
      <c r="N31" s="111"/>
      <c r="O31" s="110"/>
      <c r="P31" s="84"/>
      <c r="Q31" s="111"/>
    </row>
    <row r="32" spans="1:18">
      <c r="A32" s="78" t="s">
        <v>76</v>
      </c>
      <c r="B32" s="93"/>
      <c r="C32" s="110"/>
      <c r="D32" s="84"/>
      <c r="E32" s="111"/>
      <c r="F32" s="110"/>
      <c r="G32" s="84"/>
      <c r="H32" s="111"/>
      <c r="I32" s="110">
        <f t="shared" ref="I32:Q32" si="5">3*0.75*0.95-I29</f>
        <v>0.63749999999999973</v>
      </c>
      <c r="J32" s="84">
        <f t="shared" si="5"/>
        <v>0.63749999999999973</v>
      </c>
      <c r="K32" s="111">
        <f t="shared" si="5"/>
        <v>0.63749999999999973</v>
      </c>
      <c r="L32" s="110">
        <f t="shared" si="5"/>
        <v>0.63749999999999973</v>
      </c>
      <c r="M32" s="84">
        <f t="shared" si="5"/>
        <v>0.63749999999999973</v>
      </c>
      <c r="N32" s="111">
        <f t="shared" si="5"/>
        <v>0.63749999999999973</v>
      </c>
      <c r="O32" s="110">
        <f t="shared" si="5"/>
        <v>0.63749999999999973</v>
      </c>
      <c r="P32" s="84">
        <f t="shared" si="5"/>
        <v>0.63749999999999973</v>
      </c>
      <c r="Q32" s="111">
        <f t="shared" si="5"/>
        <v>0.63749999999999973</v>
      </c>
      <c r="R32" s="43" t="s">
        <v>77</v>
      </c>
    </row>
    <row r="33" spans="1:18" ht="16.5" thickBot="1">
      <c r="A33" s="79"/>
      <c r="B33" s="94"/>
      <c r="C33" s="112"/>
      <c r="D33" s="85"/>
      <c r="E33" s="113"/>
      <c r="F33" s="112"/>
      <c r="G33" s="85"/>
      <c r="H33" s="113"/>
      <c r="I33" s="112"/>
      <c r="J33" s="85"/>
      <c r="K33" s="113"/>
      <c r="L33" s="112"/>
      <c r="M33" s="85"/>
      <c r="N33" s="113"/>
      <c r="O33" s="112"/>
      <c r="P33" s="85"/>
      <c r="Q33" s="113"/>
    </row>
    <row r="34" spans="1:18" s="52" customFormat="1" ht="17.25" thickTop="1" thickBot="1">
      <c r="A34" s="80" t="s">
        <v>10</v>
      </c>
      <c r="B34" s="95"/>
      <c r="C34" s="114">
        <f>SUM(C21:C33)</f>
        <v>20.299999999999997</v>
      </c>
      <c r="D34" s="86">
        <f t="shared" ref="D34:Q34" si="6">SUM(D21:D33)</f>
        <v>20.299999999999997</v>
      </c>
      <c r="E34" s="115">
        <f t="shared" si="6"/>
        <v>20.299999999999997</v>
      </c>
      <c r="F34" s="114">
        <f t="shared" si="6"/>
        <v>20.299999999999997</v>
      </c>
      <c r="G34" s="86">
        <f t="shared" si="6"/>
        <v>20.299999999999997</v>
      </c>
      <c r="H34" s="115">
        <f t="shared" si="6"/>
        <v>20.299999999999997</v>
      </c>
      <c r="I34" s="114">
        <f t="shared" si="6"/>
        <v>20.937499999999996</v>
      </c>
      <c r="J34" s="86">
        <f t="shared" si="6"/>
        <v>20.937499999999996</v>
      </c>
      <c r="K34" s="115">
        <f t="shared" si="6"/>
        <v>20.937499999999996</v>
      </c>
      <c r="L34" s="114">
        <f t="shared" si="6"/>
        <v>20.937499999999996</v>
      </c>
      <c r="M34" s="86">
        <f t="shared" si="6"/>
        <v>20.937499999999996</v>
      </c>
      <c r="N34" s="115">
        <f t="shared" si="6"/>
        <v>20.937499999999996</v>
      </c>
      <c r="O34" s="114">
        <f t="shared" si="6"/>
        <v>20.937499999999996</v>
      </c>
      <c r="P34" s="86">
        <f t="shared" si="6"/>
        <v>20.937499999999996</v>
      </c>
      <c r="Q34" s="115">
        <f t="shared" si="6"/>
        <v>20.937499999999996</v>
      </c>
    </row>
    <row r="35" spans="1:18" ht="17.25" thickTop="1" thickBot="1">
      <c r="C35" s="116"/>
      <c r="D35" s="68"/>
      <c r="E35" s="117"/>
      <c r="F35" s="116"/>
      <c r="G35" s="68"/>
      <c r="H35" s="117"/>
      <c r="I35" s="116"/>
      <c r="J35" s="68"/>
      <c r="K35" s="117"/>
      <c r="L35" s="116"/>
      <c r="M35" s="68"/>
      <c r="N35" s="117"/>
      <c r="O35" s="116"/>
      <c r="P35" s="68"/>
      <c r="Q35" s="117"/>
    </row>
    <row r="36" spans="1:18" ht="44.45" customHeight="1" thickTop="1" thickBot="1">
      <c r="A36" s="185" t="s">
        <v>73</v>
      </c>
      <c r="B36" s="186"/>
      <c r="C36" s="186"/>
      <c r="D36" s="186"/>
      <c r="E36" s="186"/>
      <c r="F36" s="186"/>
      <c r="G36" s="186"/>
      <c r="H36" s="186"/>
      <c r="I36" s="186"/>
      <c r="J36" s="186"/>
      <c r="K36" s="186"/>
      <c r="L36" s="186"/>
      <c r="M36" s="186"/>
      <c r="N36" s="186"/>
      <c r="O36" s="186"/>
      <c r="P36" s="186"/>
      <c r="Q36" s="187"/>
    </row>
    <row r="37" spans="1:18" s="52" customFormat="1" ht="16.5" customHeight="1" thickTop="1" thickBot="1">
      <c r="A37" s="55" t="s">
        <v>3</v>
      </c>
      <c r="B37" s="89"/>
      <c r="C37" s="172">
        <v>2010</v>
      </c>
      <c r="D37" s="173"/>
      <c r="E37" s="174"/>
      <c r="F37" s="172">
        <v>2015</v>
      </c>
      <c r="G37" s="173"/>
      <c r="H37" s="174"/>
      <c r="I37" s="172">
        <v>2020</v>
      </c>
      <c r="J37" s="173"/>
      <c r="K37" s="174"/>
      <c r="L37" s="172">
        <v>2025</v>
      </c>
      <c r="M37" s="173"/>
      <c r="N37" s="174"/>
      <c r="O37" s="172">
        <v>2030</v>
      </c>
      <c r="P37" s="173"/>
      <c r="Q37" s="174"/>
    </row>
    <row r="38" spans="1:18" s="57" customFormat="1" ht="17.25" thickTop="1" thickBot="1">
      <c r="A38" s="167"/>
      <c r="B38" s="168"/>
      <c r="C38" s="96" t="s">
        <v>24</v>
      </c>
      <c r="D38" s="56" t="s">
        <v>57</v>
      </c>
      <c r="E38" s="97" t="s">
        <v>26</v>
      </c>
      <c r="F38" s="96" t="s">
        <v>24</v>
      </c>
      <c r="G38" s="56" t="s">
        <v>57</v>
      </c>
      <c r="H38" s="97" t="s">
        <v>26</v>
      </c>
      <c r="I38" s="96" t="s">
        <v>24</v>
      </c>
      <c r="J38" s="56" t="s">
        <v>57</v>
      </c>
      <c r="K38" s="97" t="s">
        <v>26</v>
      </c>
      <c r="L38" s="96" t="s">
        <v>24</v>
      </c>
      <c r="M38" s="56" t="s">
        <v>57</v>
      </c>
      <c r="N38" s="97" t="s">
        <v>26</v>
      </c>
      <c r="O38" s="96" t="s">
        <v>24</v>
      </c>
      <c r="P38" s="56" t="s">
        <v>57</v>
      </c>
      <c r="Q38" s="97" t="s">
        <v>26</v>
      </c>
    </row>
    <row r="39" spans="1:18" ht="16.5" thickTop="1">
      <c r="A39" s="74" t="s">
        <v>11</v>
      </c>
      <c r="B39" s="118"/>
      <c r="C39" s="121">
        <f>C34-C16</f>
        <v>6.5845291538417534</v>
      </c>
      <c r="D39" s="70">
        <f t="shared" ref="D39:Q39" si="7">D34-D16</f>
        <v>6.5845291538417534</v>
      </c>
      <c r="E39" s="122">
        <f t="shared" si="7"/>
        <v>6.5845291538417534</v>
      </c>
      <c r="F39" s="121">
        <f t="shared" si="7"/>
        <v>5.5136502036324924</v>
      </c>
      <c r="G39" s="70">
        <f t="shared" si="7"/>
        <v>3.9181490449472882</v>
      </c>
      <c r="H39" s="122">
        <f t="shared" si="7"/>
        <v>3.4508405805112439</v>
      </c>
      <c r="I39" s="121">
        <f t="shared" si="7"/>
        <v>5.6962789181342739</v>
      </c>
      <c r="J39" s="70">
        <f t="shared" si="7"/>
        <v>4.3516556163167301</v>
      </c>
      <c r="K39" s="122">
        <f t="shared" si="7"/>
        <v>3.5086477453100393</v>
      </c>
      <c r="L39" s="121">
        <f t="shared" si="7"/>
        <v>5.1465214896783333</v>
      </c>
      <c r="M39" s="70">
        <f t="shared" si="7"/>
        <v>3.7932327980316067</v>
      </c>
      <c r="N39" s="122">
        <f t="shared" si="7"/>
        <v>2.9289549101088426</v>
      </c>
      <c r="O39" s="121">
        <f t="shared" si="7"/>
        <v>4.5967640612224052</v>
      </c>
      <c r="P39" s="70">
        <f t="shared" si="7"/>
        <v>3.2348099797464833</v>
      </c>
      <c r="Q39" s="122">
        <f t="shared" si="7"/>
        <v>2.2960062839278415</v>
      </c>
      <c r="R39" s="69"/>
    </row>
    <row r="40" spans="1:18">
      <c r="A40" s="75"/>
      <c r="B40" s="119"/>
      <c r="C40" s="123"/>
      <c r="D40" s="71"/>
      <c r="E40" s="124"/>
      <c r="F40" s="123"/>
      <c r="G40" s="71"/>
      <c r="H40" s="124"/>
      <c r="I40" s="123"/>
      <c r="J40" s="71"/>
      <c r="K40" s="124"/>
      <c r="L40" s="123"/>
      <c r="M40" s="71"/>
      <c r="N40" s="124"/>
      <c r="O40" s="123"/>
      <c r="P40" s="71"/>
      <c r="Q40" s="124"/>
      <c r="R40" s="69"/>
    </row>
    <row r="41" spans="1:18" ht="31.5">
      <c r="A41" s="76" t="s">
        <v>12</v>
      </c>
      <c r="B41" s="119"/>
      <c r="C41" s="125">
        <f>C34-C16-C23-C24</f>
        <v>1.1845291538417535</v>
      </c>
      <c r="D41" s="72">
        <f t="shared" ref="D41:Q41" si="8">D34-D16-D23-D24</f>
        <v>1.1845291538417535</v>
      </c>
      <c r="E41" s="126">
        <f t="shared" si="8"/>
        <v>1.1845291538417535</v>
      </c>
      <c r="F41" s="125">
        <f t="shared" si="8"/>
        <v>0.11365020363249245</v>
      </c>
      <c r="G41" s="72">
        <f t="shared" si="8"/>
        <v>-1.4818509550527117</v>
      </c>
      <c r="H41" s="126">
        <f t="shared" si="8"/>
        <v>-1.949159419488756</v>
      </c>
      <c r="I41" s="125">
        <f t="shared" si="8"/>
        <v>0.29627891813427398</v>
      </c>
      <c r="J41" s="72">
        <f t="shared" si="8"/>
        <v>-1.0483443836832698</v>
      </c>
      <c r="K41" s="126">
        <f t="shared" si="8"/>
        <v>-1.8913522546899606</v>
      </c>
      <c r="L41" s="125">
        <f t="shared" si="8"/>
        <v>-0.25347851032166657</v>
      </c>
      <c r="M41" s="72">
        <f t="shared" si="8"/>
        <v>-1.6067672019683932</v>
      </c>
      <c r="N41" s="126">
        <f t="shared" si="8"/>
        <v>-2.4710450898911573</v>
      </c>
      <c r="O41" s="125">
        <f t="shared" si="8"/>
        <v>-0.80323593877759469</v>
      </c>
      <c r="P41" s="72">
        <f t="shared" si="8"/>
        <v>-2.1651900202535166</v>
      </c>
      <c r="Q41" s="126">
        <f t="shared" si="8"/>
        <v>-3.1039937160721585</v>
      </c>
      <c r="R41" s="69"/>
    </row>
    <row r="42" spans="1:18">
      <c r="A42" s="75"/>
      <c r="B42" s="119"/>
      <c r="C42" s="123"/>
      <c r="D42" s="71"/>
      <c r="E42" s="124"/>
      <c r="F42" s="123"/>
      <c r="G42" s="71"/>
      <c r="H42" s="124"/>
      <c r="I42" s="123"/>
      <c r="J42" s="71"/>
      <c r="K42" s="124"/>
      <c r="L42" s="123"/>
      <c r="M42" s="71"/>
      <c r="N42" s="124"/>
      <c r="O42" s="123"/>
      <c r="P42" s="71"/>
      <c r="Q42" s="124"/>
      <c r="R42" s="69"/>
    </row>
    <row r="43" spans="1:18">
      <c r="A43" s="77" t="s">
        <v>68</v>
      </c>
      <c r="B43" s="119"/>
      <c r="C43" s="125">
        <f>C34-C16-C27</f>
        <v>3.5845291538417534</v>
      </c>
      <c r="D43" s="72">
        <f t="shared" ref="D43:Q43" si="9">D34-D16-D27</f>
        <v>3.5845291538417534</v>
      </c>
      <c r="E43" s="126">
        <f t="shared" si="9"/>
        <v>3.5845291538417534</v>
      </c>
      <c r="F43" s="125">
        <f t="shared" si="9"/>
        <v>2.5136502036324924</v>
      </c>
      <c r="G43" s="72">
        <f t="shared" si="9"/>
        <v>0.91814904494728822</v>
      </c>
      <c r="H43" s="126">
        <f t="shared" si="9"/>
        <v>0.45084058051124387</v>
      </c>
      <c r="I43" s="125">
        <f t="shared" si="9"/>
        <v>2.6962789181342739</v>
      </c>
      <c r="J43" s="72">
        <f t="shared" si="9"/>
        <v>1.3516556163167301</v>
      </c>
      <c r="K43" s="126">
        <f t="shared" si="9"/>
        <v>0.50864774531003931</v>
      </c>
      <c r="L43" s="125">
        <f t="shared" si="9"/>
        <v>2.1465214896783333</v>
      </c>
      <c r="M43" s="72">
        <f t="shared" si="9"/>
        <v>0.79323279803160673</v>
      </c>
      <c r="N43" s="126">
        <f t="shared" si="9"/>
        <v>-7.1045089891157431E-2</v>
      </c>
      <c r="O43" s="125">
        <f t="shared" si="9"/>
        <v>1.5967640612224052</v>
      </c>
      <c r="P43" s="72">
        <f t="shared" si="9"/>
        <v>0.23480997974648332</v>
      </c>
      <c r="Q43" s="126">
        <f t="shared" si="9"/>
        <v>-0.70399371607215855</v>
      </c>
      <c r="R43" s="69"/>
    </row>
    <row r="44" spans="1:18">
      <c r="A44" s="75"/>
      <c r="B44" s="119"/>
      <c r="C44" s="123"/>
      <c r="D44" s="71"/>
      <c r="E44" s="124"/>
      <c r="F44" s="123"/>
      <c r="G44" s="71"/>
      <c r="H44" s="124"/>
      <c r="I44" s="123"/>
      <c r="J44" s="71"/>
      <c r="K44" s="124"/>
      <c r="L44" s="123"/>
      <c r="M44" s="71"/>
      <c r="N44" s="124"/>
      <c r="O44" s="123"/>
      <c r="P44" s="71"/>
      <c r="Q44" s="124"/>
      <c r="R44" s="69"/>
    </row>
    <row r="45" spans="1:18" ht="32.25" thickBot="1">
      <c r="A45" s="81" t="s">
        <v>30</v>
      </c>
      <c r="B45" s="120"/>
      <c r="C45" s="127">
        <f>C34-C16-C26-C28-C21</f>
        <v>-0.8154708461582465</v>
      </c>
      <c r="D45" s="82">
        <f t="shared" ref="D45:Q45" si="10">D34-D16-D26-D28-D21</f>
        <v>-0.8154708461582465</v>
      </c>
      <c r="E45" s="128">
        <f t="shared" si="10"/>
        <v>-0.8154708461582465</v>
      </c>
      <c r="F45" s="127">
        <f t="shared" si="10"/>
        <v>-1.8863497963675075</v>
      </c>
      <c r="G45" s="82">
        <f t="shared" si="10"/>
        <v>-3.4818509550527117</v>
      </c>
      <c r="H45" s="128">
        <f t="shared" si="10"/>
        <v>-3.949159419488756</v>
      </c>
      <c r="I45" s="127">
        <f t="shared" si="10"/>
        <v>-1.703721081865726</v>
      </c>
      <c r="J45" s="82">
        <f t="shared" si="10"/>
        <v>-3.0483443836832698</v>
      </c>
      <c r="K45" s="128">
        <f t="shared" si="10"/>
        <v>-3.8913522546899606</v>
      </c>
      <c r="L45" s="127">
        <f t="shared" si="10"/>
        <v>-2.2534785103216666</v>
      </c>
      <c r="M45" s="82">
        <f t="shared" si="10"/>
        <v>-3.6067672019683932</v>
      </c>
      <c r="N45" s="128">
        <f t="shared" si="10"/>
        <v>-4.4710450898911578</v>
      </c>
      <c r="O45" s="127">
        <f t="shared" si="10"/>
        <v>-2.8032359387775947</v>
      </c>
      <c r="P45" s="82">
        <f t="shared" si="10"/>
        <v>-4.165190020253517</v>
      </c>
      <c r="Q45" s="128">
        <f t="shared" si="10"/>
        <v>-5.1039937160721589</v>
      </c>
      <c r="R45" s="69"/>
    </row>
    <row r="46" spans="1:18" ht="16.5" thickTop="1"/>
  </sheetData>
  <mergeCells count="21">
    <mergeCell ref="C37:E37"/>
    <mergeCell ref="F37:H37"/>
    <mergeCell ref="I37:K37"/>
    <mergeCell ref="L37:N37"/>
    <mergeCell ref="O37:Q37"/>
    <mergeCell ref="A38:B38"/>
    <mergeCell ref="A15:B15"/>
    <mergeCell ref="A7:Q7"/>
    <mergeCell ref="C9:E9"/>
    <mergeCell ref="F9:H9"/>
    <mergeCell ref="I9:K9"/>
    <mergeCell ref="L9:N9"/>
    <mergeCell ref="O9:Q9"/>
    <mergeCell ref="A10:B10"/>
    <mergeCell ref="A11:B11"/>
    <mergeCell ref="A12:B12"/>
    <mergeCell ref="A13:B13"/>
    <mergeCell ref="A14:B14"/>
    <mergeCell ref="A16:B16"/>
    <mergeCell ref="A17:B17"/>
    <mergeCell ref="A36:Q36"/>
  </mergeCells>
  <conditionalFormatting sqref="C39:Q45">
    <cfRule type="cellIs" dxfId="1" priority="1" operator="lessThan">
      <formula>0</formula>
    </cfRule>
  </conditionalFormatting>
  <printOptions horizontalCentered="1" verticalCentered="1"/>
  <pageMargins left="0.2" right="0.2" top="0.25" bottom="0.25" header="0.3" footer="0.3"/>
  <pageSetup scale="72" orientation="portrait" r:id="rId1"/>
  <drawing r:id="rId2"/>
</worksheet>
</file>

<file path=xl/worksheets/sheet8.xml><?xml version="1.0" encoding="utf-8"?>
<worksheet xmlns="http://schemas.openxmlformats.org/spreadsheetml/2006/main" xmlns:r="http://schemas.openxmlformats.org/officeDocument/2006/relationships">
  <sheetPr>
    <pageSetUpPr fitToPage="1"/>
  </sheetPr>
  <dimension ref="A1:V46"/>
  <sheetViews>
    <sheetView zoomScale="90" zoomScaleNormal="90" workbookViewId="0">
      <selection activeCell="R7" sqref="R7"/>
    </sheetView>
  </sheetViews>
  <sheetFormatPr defaultRowHeight="15.75"/>
  <cols>
    <col min="1" max="1" width="28.85546875" style="43" customWidth="1"/>
    <col min="2" max="2" width="9.140625" style="43"/>
    <col min="3" max="3" width="8.85546875" style="43" customWidth="1"/>
    <col min="4" max="4" width="9.140625" style="43"/>
    <col min="5" max="5" width="10.28515625" style="43" bestFit="1" customWidth="1"/>
    <col min="6" max="17" width="9.140625" style="43"/>
    <col min="18" max="18" width="39.42578125" style="43" customWidth="1"/>
    <col min="19" max="16384" width="9.140625" style="43"/>
  </cols>
  <sheetData>
    <row r="1" spans="1:22" ht="23.25">
      <c r="A1" s="161" t="s">
        <v>99</v>
      </c>
    </row>
    <row r="2" spans="1:22" ht="23.25">
      <c r="A2" s="161"/>
    </row>
    <row r="3" spans="1:22" ht="23.25">
      <c r="A3" s="161"/>
    </row>
    <row r="4" spans="1:22" ht="23.25">
      <c r="A4" s="161"/>
    </row>
    <row r="5" spans="1:22" ht="23.25">
      <c r="A5" s="161"/>
    </row>
    <row r="6" spans="1:22" ht="23.25">
      <c r="A6" s="161"/>
    </row>
    <row r="7" spans="1:22" s="73" customFormat="1" ht="21">
      <c r="A7" s="188" t="s">
        <v>92</v>
      </c>
      <c r="B7" s="188"/>
      <c r="C7" s="188"/>
      <c r="D7" s="188"/>
      <c r="E7" s="188"/>
      <c r="F7" s="188"/>
      <c r="G7" s="188"/>
      <c r="H7" s="188"/>
      <c r="I7" s="188"/>
      <c r="J7" s="188"/>
      <c r="K7" s="188"/>
      <c r="L7" s="188"/>
      <c r="M7" s="188"/>
      <c r="N7" s="188"/>
      <c r="O7" s="188"/>
      <c r="P7" s="188"/>
      <c r="Q7" s="188"/>
    </row>
    <row r="8" spans="1:22" ht="16.5" thickBot="1"/>
    <row r="9" spans="1:22" s="52" customFormat="1" ht="16.5" customHeight="1" thickTop="1" thickBot="1">
      <c r="A9" s="55" t="s">
        <v>3</v>
      </c>
      <c r="B9" s="89"/>
      <c r="C9" s="172">
        <v>2010</v>
      </c>
      <c r="D9" s="173"/>
      <c r="E9" s="174"/>
      <c r="F9" s="172">
        <v>2015</v>
      </c>
      <c r="G9" s="173"/>
      <c r="H9" s="174"/>
      <c r="I9" s="172">
        <v>2020</v>
      </c>
      <c r="J9" s="173"/>
      <c r="K9" s="174"/>
      <c r="L9" s="172">
        <v>2025</v>
      </c>
      <c r="M9" s="173"/>
      <c r="N9" s="174"/>
      <c r="O9" s="172">
        <v>2030</v>
      </c>
      <c r="P9" s="173"/>
      <c r="Q9" s="174"/>
    </row>
    <row r="10" spans="1:22" s="57" customFormat="1" ht="16.5" thickTop="1">
      <c r="A10" s="167"/>
      <c r="B10" s="168"/>
      <c r="C10" s="96" t="s">
        <v>24</v>
      </c>
      <c r="D10" s="56" t="s">
        <v>57</v>
      </c>
      <c r="E10" s="97" t="s">
        <v>26</v>
      </c>
      <c r="F10" s="96" t="s">
        <v>24</v>
      </c>
      <c r="G10" s="56" t="s">
        <v>57</v>
      </c>
      <c r="H10" s="97" t="s">
        <v>26</v>
      </c>
      <c r="I10" s="96" t="s">
        <v>24</v>
      </c>
      <c r="J10" s="56" t="s">
        <v>57</v>
      </c>
      <c r="K10" s="97" t="s">
        <v>26</v>
      </c>
      <c r="L10" s="96" t="s">
        <v>24</v>
      </c>
      <c r="M10" s="56" t="s">
        <v>57</v>
      </c>
      <c r="N10" s="97" t="s">
        <v>26</v>
      </c>
      <c r="O10" s="96" t="s">
        <v>24</v>
      </c>
      <c r="P10" s="56" t="s">
        <v>57</v>
      </c>
      <c r="Q10" s="97" t="s">
        <v>26</v>
      </c>
    </row>
    <row r="11" spans="1:22" ht="39" customHeight="1">
      <c r="A11" s="189" t="s">
        <v>58</v>
      </c>
      <c r="B11" s="190"/>
      <c r="C11" s="98">
        <f>'Low Maximum Day by Zone'!B26</f>
        <v>8.782097632000001</v>
      </c>
      <c r="D11" s="58">
        <f>'Median Maximum Day by Zone'!B26</f>
        <v>8.782097632000001</v>
      </c>
      <c r="E11" s="99">
        <f>'High Maximum Day by Zone'!B26</f>
        <v>8.782097632000001</v>
      </c>
      <c r="F11" s="98">
        <f>'Low Maximum Day by Zone'!C26</f>
        <v>9.0169407608000007</v>
      </c>
      <c r="G11" s="58">
        <f>'Median Maximum Day by Zone'!C26</f>
        <v>9.4776568460000004</v>
      </c>
      <c r="H11" s="99">
        <f>'High Maximum Day by Zone'!C26</f>
        <v>10.250760079999999</v>
      </c>
      <c r="I11" s="98">
        <f>'Low Maximum Day by Zone'!D26</f>
        <v>8.8718587189333338</v>
      </c>
      <c r="J11" s="58">
        <f>'Median Maximum Day by Zone'!D26</f>
        <v>9.6020551381333359</v>
      </c>
      <c r="K11" s="99">
        <f>'High Maximum Day by Zone'!D26</f>
        <v>10.621940853333333</v>
      </c>
      <c r="L11" s="98">
        <f>'Low Maximum Day by Zone'!E26</f>
        <v>9.1918704954666701</v>
      </c>
      <c r="M11" s="58">
        <f>'Median Maximum Day by Zone'!E26</f>
        <v>9.9425898570666682</v>
      </c>
      <c r="N11" s="99">
        <f>'High Maximum Day by Zone'!E26</f>
        <v>10.993121626666667</v>
      </c>
      <c r="O11" s="98">
        <f>'Low Maximum Day by Zone'!F26</f>
        <v>9.5118822720000011</v>
      </c>
      <c r="P11" s="58">
        <f>'Median Maximum Day by Zone'!F26</f>
        <v>10.283124576000001</v>
      </c>
      <c r="Q11" s="99">
        <f>'High Maximum Day by Zone'!F26</f>
        <v>11.398402400000002</v>
      </c>
    </row>
    <row r="12" spans="1:22">
      <c r="A12" s="177"/>
      <c r="B12" s="178"/>
      <c r="C12" s="98"/>
      <c r="D12" s="58"/>
      <c r="E12" s="99"/>
      <c r="F12" s="98"/>
      <c r="G12" s="58"/>
      <c r="H12" s="99"/>
      <c r="I12" s="98"/>
      <c r="J12" s="58"/>
      <c r="K12" s="99"/>
      <c r="L12" s="98"/>
      <c r="M12" s="58"/>
      <c r="N12" s="99"/>
      <c r="O12" s="98"/>
      <c r="P12" s="58"/>
      <c r="Q12" s="99"/>
    </row>
    <row r="13" spans="1:22">
      <c r="A13" s="177"/>
      <c r="B13" s="178"/>
      <c r="C13" s="98"/>
      <c r="D13" s="58"/>
      <c r="E13" s="99"/>
      <c r="F13" s="98"/>
      <c r="G13" s="58"/>
      <c r="H13" s="99"/>
      <c r="I13" s="98"/>
      <c r="J13" s="58"/>
      <c r="K13" s="99"/>
      <c r="L13" s="98"/>
      <c r="M13" s="58"/>
      <c r="N13" s="99"/>
      <c r="O13" s="98"/>
      <c r="P13" s="58"/>
      <c r="Q13" s="99"/>
      <c r="R13" s="156" t="s">
        <v>72</v>
      </c>
    </row>
    <row r="14" spans="1:22" ht="30.75" customHeight="1">
      <c r="A14" s="179" t="s">
        <v>71</v>
      </c>
      <c r="B14" s="180"/>
      <c r="C14" s="98">
        <f>'Low Maximum Day by Zone'!B34*R14</f>
        <v>13.715470846158244</v>
      </c>
      <c r="D14" s="58">
        <f>'Median Maximum Day by Zone'!B34*R14</f>
        <v>13.715470846158244</v>
      </c>
      <c r="E14" s="99">
        <f>'High Maximum Day by Zone'!B34*R14</f>
        <v>13.715470846158244</v>
      </c>
      <c r="F14" s="98">
        <f>'Low Maximum Day by Zone'!C34*R14</f>
        <v>14.786349796367505</v>
      </c>
      <c r="G14" s="58">
        <f>'Median Maximum Day by Zone'!C34*R14</f>
        <v>15.541850955052709</v>
      </c>
      <c r="H14" s="99">
        <f>'High Maximum Day by Zone'!C34*R14</f>
        <v>16.009159419488753</v>
      </c>
      <c r="I14" s="98">
        <f>'Low Maximum Day by Zone'!D34*R14</f>
        <v>15.241221081865723</v>
      </c>
      <c r="J14" s="58">
        <f>'Median Maximum Day by Zone'!D34*R14</f>
        <v>15.745844383683265</v>
      </c>
      <c r="K14" s="99">
        <f>'High Maximum Day by Zone'!D34*R14</f>
        <v>16.588852254689957</v>
      </c>
      <c r="L14" s="98">
        <f>'Low Maximum Day by Zone'!E34*R14</f>
        <v>15.790978510321663</v>
      </c>
      <c r="M14" s="58">
        <f>'Median Maximum Day by Zone'!E34*R14</f>
        <v>16.30426720196839</v>
      </c>
      <c r="N14" s="99">
        <f>'High Maximum Day by Zone'!E34*R14</f>
        <v>17.168545089891154</v>
      </c>
      <c r="O14" s="98">
        <f>'Low Maximum Day by Zone'!F34*R14</f>
        <v>16.340735938777591</v>
      </c>
      <c r="P14" s="58">
        <f>'Median Maximum Day by Zone'!F34*R14</f>
        <v>16.862690020253513</v>
      </c>
      <c r="Q14" s="99">
        <f>'High Maximum Day by Zone'!F34*R14</f>
        <v>17.801493716072155</v>
      </c>
      <c r="R14" s="87">
        <v>0.84</v>
      </c>
      <c r="T14" s="88"/>
      <c r="U14" s="88"/>
      <c r="V14" s="88"/>
    </row>
    <row r="15" spans="1:22">
      <c r="A15" s="169" t="s">
        <v>60</v>
      </c>
      <c r="B15" s="170"/>
      <c r="C15" s="98">
        <v>0</v>
      </c>
      <c r="D15" s="58">
        <v>0</v>
      </c>
      <c r="E15" s="99">
        <v>0</v>
      </c>
      <c r="F15" s="98">
        <v>0</v>
      </c>
      <c r="G15" s="58">
        <v>0.84</v>
      </c>
      <c r="H15" s="99">
        <v>0.84</v>
      </c>
      <c r="I15" s="98">
        <v>0</v>
      </c>
      <c r="J15" s="58">
        <v>0.84</v>
      </c>
      <c r="K15" s="99">
        <v>0.84</v>
      </c>
      <c r="L15" s="98">
        <v>0</v>
      </c>
      <c r="M15" s="58">
        <v>0.84</v>
      </c>
      <c r="N15" s="99">
        <v>0.84</v>
      </c>
      <c r="O15" s="98">
        <v>0</v>
      </c>
      <c r="P15" s="58">
        <v>0.84</v>
      </c>
      <c r="Q15" s="99">
        <v>0.84</v>
      </c>
    </row>
    <row r="16" spans="1:22">
      <c r="A16" s="181" t="s">
        <v>54</v>
      </c>
      <c r="B16" s="182"/>
      <c r="C16" s="100">
        <f>SUM(C14:C15)</f>
        <v>13.715470846158244</v>
      </c>
      <c r="D16" s="59">
        <f t="shared" ref="D16:E16" si="0">SUM(D14:D15)</f>
        <v>13.715470846158244</v>
      </c>
      <c r="E16" s="101">
        <f t="shared" si="0"/>
        <v>13.715470846158244</v>
      </c>
      <c r="F16" s="100">
        <f>SUM(F14:F15)</f>
        <v>14.786349796367505</v>
      </c>
      <c r="G16" s="59">
        <f t="shared" ref="G16:H16" si="1">SUM(G14:G15)</f>
        <v>16.381850955052709</v>
      </c>
      <c r="H16" s="101">
        <f t="shared" si="1"/>
        <v>16.849159419488753</v>
      </c>
      <c r="I16" s="100">
        <f>SUM(I14:I15)</f>
        <v>15.241221081865723</v>
      </c>
      <c r="J16" s="59">
        <f t="shared" ref="J16:K16" si="2">SUM(J14:J15)</f>
        <v>16.585844383683266</v>
      </c>
      <c r="K16" s="101">
        <f t="shared" si="2"/>
        <v>17.428852254689957</v>
      </c>
      <c r="L16" s="100">
        <f>SUM(L14:L15)</f>
        <v>15.790978510321663</v>
      </c>
      <c r="M16" s="59">
        <f t="shared" ref="M16:N16" si="3">SUM(M14:M15)</f>
        <v>17.14426720196839</v>
      </c>
      <c r="N16" s="101">
        <f t="shared" si="3"/>
        <v>18.008545089891154</v>
      </c>
      <c r="O16" s="100">
        <f>SUM(O14:O15)</f>
        <v>16.340735938777591</v>
      </c>
      <c r="P16" s="59">
        <f t="shared" ref="P16:Q16" si="4">SUM(P14:P15)</f>
        <v>17.702690020253513</v>
      </c>
      <c r="Q16" s="101">
        <f t="shared" si="4"/>
        <v>18.641493716072155</v>
      </c>
    </row>
    <row r="17" spans="1:18" ht="16.5" thickBot="1">
      <c r="A17" s="183"/>
      <c r="B17" s="184"/>
      <c r="C17" s="102"/>
      <c r="D17" s="60"/>
      <c r="E17" s="103"/>
      <c r="F17" s="102"/>
      <c r="G17" s="60"/>
      <c r="H17" s="103"/>
      <c r="I17" s="102"/>
      <c r="J17" s="60"/>
      <c r="K17" s="103"/>
      <c r="L17" s="102"/>
      <c r="M17" s="60"/>
      <c r="N17" s="103"/>
      <c r="O17" s="102"/>
      <c r="P17" s="60"/>
      <c r="Q17" s="103"/>
    </row>
    <row r="18" spans="1:18" ht="17.25" thickTop="1" thickBot="1">
      <c r="A18" s="61"/>
      <c r="C18" s="104"/>
      <c r="D18" s="67"/>
      <c r="E18" s="105"/>
      <c r="F18" s="104"/>
      <c r="G18" s="67"/>
      <c r="H18" s="105"/>
      <c r="I18" s="104"/>
      <c r="J18" s="67"/>
      <c r="K18" s="105"/>
      <c r="L18" s="104"/>
      <c r="M18" s="67"/>
      <c r="N18" s="105"/>
      <c r="O18" s="104"/>
      <c r="P18" s="67"/>
      <c r="Q18" s="105"/>
    </row>
    <row r="19" spans="1:18" ht="30" customHeight="1" thickTop="1" thickBot="1">
      <c r="A19" s="62" t="s">
        <v>46</v>
      </c>
      <c r="B19" s="90" t="s">
        <v>1</v>
      </c>
      <c r="C19" s="106" t="s">
        <v>2</v>
      </c>
      <c r="D19" s="63" t="s">
        <v>2</v>
      </c>
      <c r="E19" s="107" t="s">
        <v>2</v>
      </c>
      <c r="F19" s="106" t="s">
        <v>2</v>
      </c>
      <c r="G19" s="63" t="s">
        <v>2</v>
      </c>
      <c r="H19" s="107" t="s">
        <v>2</v>
      </c>
      <c r="I19" s="106" t="s">
        <v>2</v>
      </c>
      <c r="J19" s="63" t="s">
        <v>2</v>
      </c>
      <c r="K19" s="107" t="s">
        <v>2</v>
      </c>
      <c r="L19" s="106" t="s">
        <v>2</v>
      </c>
      <c r="M19" s="63" t="s">
        <v>2</v>
      </c>
      <c r="N19" s="107" t="s">
        <v>2</v>
      </c>
      <c r="O19" s="106" t="s">
        <v>2</v>
      </c>
      <c r="P19" s="63" t="s">
        <v>2</v>
      </c>
      <c r="Q19" s="107" t="s">
        <v>2</v>
      </c>
    </row>
    <row r="20" spans="1:18" ht="16.5" thickTop="1">
      <c r="A20" s="64"/>
      <c r="B20" s="91"/>
      <c r="C20" s="108"/>
      <c r="D20" s="83"/>
      <c r="E20" s="109"/>
      <c r="F20" s="108"/>
      <c r="G20" s="83"/>
      <c r="H20" s="109"/>
      <c r="I20" s="108"/>
      <c r="J20" s="83"/>
      <c r="K20" s="109"/>
      <c r="L20" s="108"/>
      <c r="M20" s="83"/>
      <c r="N20" s="109"/>
      <c r="O20" s="108"/>
      <c r="P20" s="83"/>
      <c r="Q20" s="109"/>
    </row>
    <row r="21" spans="1:18">
      <c r="A21" s="65" t="s">
        <v>67</v>
      </c>
      <c r="B21" s="92">
        <v>25</v>
      </c>
      <c r="C21" s="110">
        <v>2.5499999999999998</v>
      </c>
      <c r="D21" s="84">
        <v>2.5499999999999998</v>
      </c>
      <c r="E21" s="111">
        <v>2.5499999999999998</v>
      </c>
      <c r="F21" s="110">
        <v>2.5499999999999998</v>
      </c>
      <c r="G21" s="84">
        <v>2.5499999999999998</v>
      </c>
      <c r="H21" s="111">
        <v>2.5499999999999998</v>
      </c>
      <c r="I21" s="110">
        <v>2.5499999999999998</v>
      </c>
      <c r="J21" s="84">
        <v>2.5499999999999998</v>
      </c>
      <c r="K21" s="111">
        <v>2.5499999999999998</v>
      </c>
      <c r="L21" s="110">
        <v>2.5499999999999998</v>
      </c>
      <c r="M21" s="84">
        <v>2.5499999999999998</v>
      </c>
      <c r="N21" s="111">
        <v>2.5499999999999998</v>
      </c>
      <c r="O21" s="110">
        <v>2.5499999999999998</v>
      </c>
      <c r="P21" s="84">
        <v>2.5499999999999998</v>
      </c>
      <c r="Q21" s="111">
        <v>2.5499999999999998</v>
      </c>
    </row>
    <row r="22" spans="1:18">
      <c r="A22" s="65">
        <v>5</v>
      </c>
      <c r="B22" s="92" t="s">
        <v>9</v>
      </c>
      <c r="C22" s="110">
        <v>0</v>
      </c>
      <c r="D22" s="84">
        <v>0</v>
      </c>
      <c r="E22" s="111">
        <v>0</v>
      </c>
      <c r="F22" s="110">
        <v>0</v>
      </c>
      <c r="G22" s="84">
        <v>0</v>
      </c>
      <c r="H22" s="111">
        <v>0</v>
      </c>
      <c r="I22" s="110">
        <v>0</v>
      </c>
      <c r="J22" s="84">
        <v>0</v>
      </c>
      <c r="K22" s="111">
        <v>0</v>
      </c>
      <c r="L22" s="110">
        <v>0</v>
      </c>
      <c r="M22" s="84">
        <v>0</v>
      </c>
      <c r="N22" s="111">
        <v>0</v>
      </c>
      <c r="O22" s="110">
        <v>0</v>
      </c>
      <c r="P22" s="84">
        <v>0</v>
      </c>
      <c r="Q22" s="111">
        <v>0</v>
      </c>
    </row>
    <row r="23" spans="1:18">
      <c r="A23" s="65" t="s">
        <v>8</v>
      </c>
      <c r="B23" s="92">
        <v>7</v>
      </c>
      <c r="C23" s="110">
        <v>2.5499999999999998</v>
      </c>
      <c r="D23" s="84">
        <v>2.5499999999999998</v>
      </c>
      <c r="E23" s="111">
        <v>2.5499999999999998</v>
      </c>
      <c r="F23" s="110">
        <v>2.5499999999999998</v>
      </c>
      <c r="G23" s="84">
        <v>2.5499999999999998</v>
      </c>
      <c r="H23" s="111">
        <v>2.5499999999999998</v>
      </c>
      <c r="I23" s="110">
        <v>2.5499999999999998</v>
      </c>
      <c r="J23" s="84">
        <v>2.5499999999999998</v>
      </c>
      <c r="K23" s="111">
        <v>2.5499999999999998</v>
      </c>
      <c r="L23" s="110">
        <v>2.5499999999999998</v>
      </c>
      <c r="M23" s="84">
        <v>2.5499999999999998</v>
      </c>
      <c r="N23" s="111">
        <v>2.5499999999999998</v>
      </c>
      <c r="O23" s="110">
        <v>2.5499999999999998</v>
      </c>
      <c r="P23" s="84">
        <v>2.5499999999999998</v>
      </c>
      <c r="Q23" s="111">
        <v>2.5499999999999998</v>
      </c>
      <c r="R23" s="57" t="s">
        <v>74</v>
      </c>
    </row>
    <row r="24" spans="1:18">
      <c r="A24" s="66"/>
      <c r="B24" s="92">
        <v>8</v>
      </c>
      <c r="C24" s="110">
        <v>2.04</v>
      </c>
      <c r="D24" s="84">
        <v>2.04</v>
      </c>
      <c r="E24" s="111">
        <v>2.04</v>
      </c>
      <c r="F24" s="110">
        <v>2.04</v>
      </c>
      <c r="G24" s="84">
        <v>2.04</v>
      </c>
      <c r="H24" s="111">
        <v>2.04</v>
      </c>
      <c r="I24" s="110">
        <v>2.04</v>
      </c>
      <c r="J24" s="84">
        <v>2.04</v>
      </c>
      <c r="K24" s="111">
        <v>2.04</v>
      </c>
      <c r="L24" s="110">
        <v>2.04</v>
      </c>
      <c r="M24" s="84">
        <v>2.04</v>
      </c>
      <c r="N24" s="111">
        <v>2.04</v>
      </c>
      <c r="O24" s="110">
        <v>2.04</v>
      </c>
      <c r="P24" s="84">
        <v>2.04</v>
      </c>
      <c r="Q24" s="111">
        <v>2.04</v>
      </c>
      <c r="R24" s="43">
        <v>0.85</v>
      </c>
    </row>
    <row r="25" spans="1:18">
      <c r="A25" s="66"/>
      <c r="B25" s="92">
        <v>11</v>
      </c>
      <c r="C25" s="110">
        <v>2.5499999999999998</v>
      </c>
      <c r="D25" s="84">
        <v>2.5499999999999998</v>
      </c>
      <c r="E25" s="111">
        <v>2.5499999999999998</v>
      </c>
      <c r="F25" s="110">
        <v>2.5499999999999998</v>
      </c>
      <c r="G25" s="84">
        <v>2.5499999999999998</v>
      </c>
      <c r="H25" s="111">
        <v>2.5499999999999998</v>
      </c>
      <c r="I25" s="110">
        <v>2.5499999999999998</v>
      </c>
      <c r="J25" s="84">
        <v>2.5499999999999998</v>
      </c>
      <c r="K25" s="111">
        <v>2.5499999999999998</v>
      </c>
      <c r="L25" s="110">
        <v>2.5499999999999998</v>
      </c>
      <c r="M25" s="84">
        <v>2.5499999999999998</v>
      </c>
      <c r="N25" s="111">
        <v>2.5499999999999998</v>
      </c>
      <c r="O25" s="110">
        <v>2.5499999999999998</v>
      </c>
      <c r="P25" s="84">
        <v>2.5499999999999998</v>
      </c>
      <c r="Q25" s="111">
        <v>2.5499999999999998</v>
      </c>
    </row>
    <row r="26" spans="1:18">
      <c r="A26" s="66"/>
      <c r="B26" s="92">
        <v>13</v>
      </c>
      <c r="C26" s="110">
        <v>2.5499999999999998</v>
      </c>
      <c r="D26" s="84">
        <v>2.5499999999999998</v>
      </c>
      <c r="E26" s="111">
        <v>2.5499999999999998</v>
      </c>
      <c r="F26" s="110">
        <v>2.5499999999999998</v>
      </c>
      <c r="G26" s="84">
        <v>2.5499999999999998</v>
      </c>
      <c r="H26" s="111">
        <v>2.5499999999999998</v>
      </c>
      <c r="I26" s="110">
        <v>2.5499999999999998</v>
      </c>
      <c r="J26" s="84">
        <v>2.5499999999999998</v>
      </c>
      <c r="K26" s="111">
        <v>2.5499999999999998</v>
      </c>
      <c r="L26" s="110">
        <v>2.5499999999999998</v>
      </c>
      <c r="M26" s="84">
        <v>2.5499999999999998</v>
      </c>
      <c r="N26" s="111">
        <v>2.5499999999999998</v>
      </c>
      <c r="O26" s="110">
        <v>2.5499999999999998</v>
      </c>
      <c r="P26" s="84">
        <v>2.5499999999999998</v>
      </c>
      <c r="Q26" s="111">
        <v>2.5499999999999998</v>
      </c>
    </row>
    <row r="27" spans="1:18">
      <c r="A27" s="66"/>
      <c r="B27" s="92">
        <v>15</v>
      </c>
      <c r="C27" s="110">
        <v>2.5499999999999998</v>
      </c>
      <c r="D27" s="84">
        <v>2.5499999999999998</v>
      </c>
      <c r="E27" s="111">
        <v>2.5499999999999998</v>
      </c>
      <c r="F27" s="110">
        <v>2.5499999999999998</v>
      </c>
      <c r="G27" s="84">
        <v>2.5499999999999998</v>
      </c>
      <c r="H27" s="111">
        <v>2.5499999999999998</v>
      </c>
      <c r="I27" s="110">
        <v>2.5499999999999998</v>
      </c>
      <c r="J27" s="84">
        <v>2.5499999999999998</v>
      </c>
      <c r="K27" s="111">
        <v>2.5499999999999998</v>
      </c>
      <c r="L27" s="110">
        <v>2.5499999999999998</v>
      </c>
      <c r="M27" s="84">
        <v>2.5499999999999998</v>
      </c>
      <c r="N27" s="111">
        <v>2.5499999999999998</v>
      </c>
      <c r="O27" s="110">
        <v>2.5499999999999998</v>
      </c>
      <c r="P27" s="84">
        <v>2.5499999999999998</v>
      </c>
      <c r="Q27" s="111">
        <v>2.5499999999999998</v>
      </c>
    </row>
    <row r="28" spans="1:18">
      <c r="A28" s="66"/>
      <c r="B28" s="92">
        <v>23</v>
      </c>
      <c r="C28" s="110">
        <v>1.19</v>
      </c>
      <c r="D28" s="84">
        <v>1.19</v>
      </c>
      <c r="E28" s="111">
        <v>1.19</v>
      </c>
      <c r="F28" s="110">
        <v>1.19</v>
      </c>
      <c r="G28" s="84">
        <v>1.19</v>
      </c>
      <c r="H28" s="111">
        <v>1.19</v>
      </c>
      <c r="I28" s="110">
        <v>1.19</v>
      </c>
      <c r="J28" s="84">
        <v>1.19</v>
      </c>
      <c r="K28" s="111">
        <v>1.19</v>
      </c>
      <c r="L28" s="110">
        <v>1.19</v>
      </c>
      <c r="M28" s="84">
        <v>1.19</v>
      </c>
      <c r="N28" s="111">
        <v>1.19</v>
      </c>
      <c r="O28" s="110">
        <v>1.19</v>
      </c>
      <c r="P28" s="84">
        <v>1.19</v>
      </c>
      <c r="Q28" s="111">
        <v>1.19</v>
      </c>
    </row>
    <row r="29" spans="1:18">
      <c r="A29" s="66"/>
      <c r="B29" s="92">
        <v>29</v>
      </c>
      <c r="C29" s="110">
        <v>1.5</v>
      </c>
      <c r="D29" s="84">
        <v>1.5</v>
      </c>
      <c r="E29" s="111">
        <v>1.5</v>
      </c>
      <c r="F29" s="110">
        <v>1.5</v>
      </c>
      <c r="G29" s="84">
        <v>1.5</v>
      </c>
      <c r="H29" s="111">
        <v>1.5</v>
      </c>
      <c r="I29" s="110">
        <v>1.5</v>
      </c>
      <c r="J29" s="84">
        <v>1.5</v>
      </c>
      <c r="K29" s="111">
        <v>1.5</v>
      </c>
      <c r="L29" s="110">
        <v>1.5</v>
      </c>
      <c r="M29" s="84">
        <v>1.5</v>
      </c>
      <c r="N29" s="111">
        <v>1.5</v>
      </c>
      <c r="O29" s="110">
        <v>1.5</v>
      </c>
      <c r="P29" s="84">
        <v>1.5</v>
      </c>
      <c r="Q29" s="111">
        <v>1.5</v>
      </c>
      <c r="R29" s="43" t="s">
        <v>75</v>
      </c>
    </row>
    <row r="30" spans="1:18">
      <c r="A30" s="66"/>
      <c r="B30" s="93"/>
      <c r="C30" s="110"/>
      <c r="D30" s="84"/>
      <c r="E30" s="111"/>
      <c r="F30" s="110"/>
      <c r="G30" s="84"/>
      <c r="H30" s="111"/>
      <c r="I30" s="110"/>
      <c r="J30" s="84"/>
      <c r="K30" s="111"/>
      <c r="L30" s="110"/>
      <c r="M30" s="84"/>
      <c r="N30" s="111"/>
      <c r="O30" s="110"/>
      <c r="P30" s="84"/>
      <c r="Q30" s="111"/>
    </row>
    <row r="31" spans="1:18">
      <c r="A31" s="78" t="s">
        <v>69</v>
      </c>
      <c r="B31" s="93"/>
      <c r="C31" s="110"/>
      <c r="D31" s="84"/>
      <c r="E31" s="111"/>
      <c r="F31" s="110"/>
      <c r="G31" s="84"/>
      <c r="H31" s="111"/>
      <c r="I31" s="110"/>
      <c r="J31" s="84"/>
      <c r="K31" s="111"/>
      <c r="L31" s="110"/>
      <c r="M31" s="84"/>
      <c r="N31" s="111"/>
      <c r="O31" s="110"/>
      <c r="P31" s="84"/>
      <c r="Q31" s="111"/>
    </row>
    <row r="32" spans="1:18">
      <c r="A32" s="78" t="s">
        <v>76</v>
      </c>
      <c r="B32" s="93"/>
      <c r="C32" s="110"/>
      <c r="D32" s="84"/>
      <c r="E32" s="111"/>
      <c r="F32" s="110"/>
      <c r="G32" s="84"/>
      <c r="H32" s="111"/>
      <c r="I32" s="110">
        <f t="shared" ref="I32:Q32" si="5">3*0.75*0.95-I29</f>
        <v>0.63749999999999973</v>
      </c>
      <c r="J32" s="84">
        <f t="shared" si="5"/>
        <v>0.63749999999999973</v>
      </c>
      <c r="K32" s="111">
        <f t="shared" si="5"/>
        <v>0.63749999999999973</v>
      </c>
      <c r="L32" s="110">
        <f t="shared" si="5"/>
        <v>0.63749999999999973</v>
      </c>
      <c r="M32" s="84">
        <f t="shared" si="5"/>
        <v>0.63749999999999973</v>
      </c>
      <c r="N32" s="111">
        <f t="shared" si="5"/>
        <v>0.63749999999999973</v>
      </c>
      <c r="O32" s="110">
        <f t="shared" si="5"/>
        <v>0.63749999999999973</v>
      </c>
      <c r="P32" s="84">
        <f t="shared" si="5"/>
        <v>0.63749999999999973</v>
      </c>
      <c r="Q32" s="111">
        <f t="shared" si="5"/>
        <v>0.63749999999999973</v>
      </c>
      <c r="R32" s="43" t="s">
        <v>77</v>
      </c>
    </row>
    <row r="33" spans="1:18" ht="16.5" thickBot="1">
      <c r="A33" s="79"/>
      <c r="B33" s="94"/>
      <c r="C33" s="112"/>
      <c r="D33" s="85"/>
      <c r="E33" s="113"/>
      <c r="F33" s="112"/>
      <c r="G33" s="85"/>
      <c r="H33" s="113"/>
      <c r="I33" s="112"/>
      <c r="J33" s="85"/>
      <c r="K33" s="113"/>
      <c r="L33" s="112"/>
      <c r="M33" s="85"/>
      <c r="N33" s="113"/>
      <c r="O33" s="112"/>
      <c r="P33" s="85"/>
      <c r="Q33" s="113"/>
    </row>
    <row r="34" spans="1:18" s="52" customFormat="1" ht="17.25" thickTop="1" thickBot="1">
      <c r="A34" s="80" t="s">
        <v>10</v>
      </c>
      <c r="B34" s="95"/>
      <c r="C34" s="114">
        <f>SUM(C21:C33)</f>
        <v>17.479999999999997</v>
      </c>
      <c r="D34" s="86">
        <f t="shared" ref="D34:Q34" si="6">SUM(D21:D33)</f>
        <v>17.479999999999997</v>
      </c>
      <c r="E34" s="115">
        <f t="shared" si="6"/>
        <v>17.479999999999997</v>
      </c>
      <c r="F34" s="114">
        <f t="shared" si="6"/>
        <v>17.479999999999997</v>
      </c>
      <c r="G34" s="86">
        <f t="shared" si="6"/>
        <v>17.479999999999997</v>
      </c>
      <c r="H34" s="115">
        <f t="shared" si="6"/>
        <v>17.479999999999997</v>
      </c>
      <c r="I34" s="114">
        <f t="shared" si="6"/>
        <v>18.117499999999996</v>
      </c>
      <c r="J34" s="86">
        <f t="shared" si="6"/>
        <v>18.117499999999996</v>
      </c>
      <c r="K34" s="115">
        <f t="shared" si="6"/>
        <v>18.117499999999996</v>
      </c>
      <c r="L34" s="114">
        <f t="shared" si="6"/>
        <v>18.117499999999996</v>
      </c>
      <c r="M34" s="86">
        <f t="shared" si="6"/>
        <v>18.117499999999996</v>
      </c>
      <c r="N34" s="115">
        <f t="shared" si="6"/>
        <v>18.117499999999996</v>
      </c>
      <c r="O34" s="114">
        <f t="shared" si="6"/>
        <v>18.117499999999996</v>
      </c>
      <c r="P34" s="86">
        <f t="shared" si="6"/>
        <v>18.117499999999996</v>
      </c>
      <c r="Q34" s="115">
        <f t="shared" si="6"/>
        <v>18.117499999999996</v>
      </c>
    </row>
    <row r="35" spans="1:18" ht="17.25" thickTop="1" thickBot="1">
      <c r="C35" s="116"/>
      <c r="D35" s="68"/>
      <c r="E35" s="117"/>
      <c r="F35" s="116"/>
      <c r="G35" s="68"/>
      <c r="H35" s="117"/>
      <c r="I35" s="116"/>
      <c r="J35" s="68"/>
      <c r="K35" s="117"/>
      <c r="L35" s="116"/>
      <c r="M35" s="68"/>
      <c r="N35" s="117"/>
      <c r="O35" s="116"/>
      <c r="P35" s="68"/>
      <c r="Q35" s="117"/>
    </row>
    <row r="36" spans="1:18" ht="44.45" customHeight="1" thickTop="1" thickBot="1">
      <c r="A36" s="185" t="s">
        <v>73</v>
      </c>
      <c r="B36" s="186"/>
      <c r="C36" s="186"/>
      <c r="D36" s="186"/>
      <c r="E36" s="186"/>
      <c r="F36" s="186"/>
      <c r="G36" s="186"/>
      <c r="H36" s="186"/>
      <c r="I36" s="186"/>
      <c r="J36" s="186"/>
      <c r="K36" s="186"/>
      <c r="L36" s="186"/>
      <c r="M36" s="186"/>
      <c r="N36" s="186"/>
      <c r="O36" s="186"/>
      <c r="P36" s="186"/>
      <c r="Q36" s="187"/>
    </row>
    <row r="37" spans="1:18" s="52" customFormat="1" ht="16.5" customHeight="1" thickTop="1" thickBot="1">
      <c r="A37" s="55" t="s">
        <v>3</v>
      </c>
      <c r="B37" s="89"/>
      <c r="C37" s="172">
        <v>2010</v>
      </c>
      <c r="D37" s="173"/>
      <c r="E37" s="174"/>
      <c r="F37" s="172">
        <v>2015</v>
      </c>
      <c r="G37" s="173"/>
      <c r="H37" s="174"/>
      <c r="I37" s="172">
        <v>2020</v>
      </c>
      <c r="J37" s="173"/>
      <c r="K37" s="174"/>
      <c r="L37" s="172">
        <v>2025</v>
      </c>
      <c r="M37" s="173"/>
      <c r="N37" s="174"/>
      <c r="O37" s="172">
        <v>2030</v>
      </c>
      <c r="P37" s="173"/>
      <c r="Q37" s="174"/>
    </row>
    <row r="38" spans="1:18" s="57" customFormat="1" ht="17.25" thickTop="1" thickBot="1">
      <c r="A38" s="167"/>
      <c r="B38" s="168"/>
      <c r="C38" s="96" t="s">
        <v>24</v>
      </c>
      <c r="D38" s="56" t="s">
        <v>57</v>
      </c>
      <c r="E38" s="97" t="s">
        <v>26</v>
      </c>
      <c r="F38" s="96" t="s">
        <v>24</v>
      </c>
      <c r="G38" s="56" t="s">
        <v>57</v>
      </c>
      <c r="H38" s="97" t="s">
        <v>26</v>
      </c>
      <c r="I38" s="96" t="s">
        <v>24</v>
      </c>
      <c r="J38" s="56" t="s">
        <v>57</v>
      </c>
      <c r="K38" s="97" t="s">
        <v>26</v>
      </c>
      <c r="L38" s="96" t="s">
        <v>24</v>
      </c>
      <c r="M38" s="56" t="s">
        <v>57</v>
      </c>
      <c r="N38" s="97" t="s">
        <v>26</v>
      </c>
      <c r="O38" s="96" t="s">
        <v>24</v>
      </c>
      <c r="P38" s="56" t="s">
        <v>57</v>
      </c>
      <c r="Q38" s="97" t="s">
        <v>26</v>
      </c>
    </row>
    <row r="39" spans="1:18" ht="16.5" thickTop="1">
      <c r="A39" s="74" t="s">
        <v>11</v>
      </c>
      <c r="B39" s="118"/>
      <c r="C39" s="121">
        <f>C34-C16</f>
        <v>3.7645291538417531</v>
      </c>
      <c r="D39" s="70">
        <f t="shared" ref="D39:Q39" si="7">D34-D16</f>
        <v>3.7645291538417531</v>
      </c>
      <c r="E39" s="122">
        <f t="shared" si="7"/>
        <v>3.7645291538417531</v>
      </c>
      <c r="F39" s="121">
        <f t="shared" si="7"/>
        <v>2.6936502036324921</v>
      </c>
      <c r="G39" s="70">
        <f t="shared" si="7"/>
        <v>1.0981490449472879</v>
      </c>
      <c r="H39" s="122">
        <f t="shared" si="7"/>
        <v>0.63084058051124359</v>
      </c>
      <c r="I39" s="121">
        <f t="shared" si="7"/>
        <v>2.8762789181342736</v>
      </c>
      <c r="J39" s="70">
        <f t="shared" si="7"/>
        <v>1.5316556163167299</v>
      </c>
      <c r="K39" s="122">
        <f t="shared" si="7"/>
        <v>0.68864774531003903</v>
      </c>
      <c r="L39" s="121">
        <f t="shared" si="7"/>
        <v>2.3265214896783331</v>
      </c>
      <c r="M39" s="70">
        <f t="shared" si="7"/>
        <v>0.97323279803160645</v>
      </c>
      <c r="N39" s="122">
        <f t="shared" si="7"/>
        <v>0.10895491010884228</v>
      </c>
      <c r="O39" s="121">
        <f t="shared" si="7"/>
        <v>1.7767640612224049</v>
      </c>
      <c r="P39" s="70">
        <f t="shared" si="7"/>
        <v>0.41480997974648304</v>
      </c>
      <c r="Q39" s="122">
        <f t="shared" si="7"/>
        <v>-0.52399371607215883</v>
      </c>
      <c r="R39" s="69"/>
    </row>
    <row r="40" spans="1:18">
      <c r="A40" s="75"/>
      <c r="B40" s="119"/>
      <c r="C40" s="123"/>
      <c r="D40" s="71"/>
      <c r="E40" s="124"/>
      <c r="F40" s="123"/>
      <c r="G40" s="71"/>
      <c r="H40" s="124"/>
      <c r="I40" s="123"/>
      <c r="J40" s="71"/>
      <c r="K40" s="124"/>
      <c r="L40" s="123"/>
      <c r="M40" s="71"/>
      <c r="N40" s="124"/>
      <c r="O40" s="123"/>
      <c r="P40" s="71"/>
      <c r="Q40" s="124"/>
      <c r="R40" s="69"/>
    </row>
    <row r="41" spans="1:18" ht="31.5">
      <c r="A41" s="76" t="s">
        <v>12</v>
      </c>
      <c r="B41" s="119"/>
      <c r="C41" s="125">
        <f>C34-C16-C23-C24</f>
        <v>-0.82547084615824673</v>
      </c>
      <c r="D41" s="72">
        <f t="shared" ref="D41:Q41" si="8">D34-D16-D23-D24</f>
        <v>-0.82547084615824673</v>
      </c>
      <c r="E41" s="126">
        <f t="shared" si="8"/>
        <v>-0.82547084615824673</v>
      </c>
      <c r="F41" s="125">
        <f t="shared" si="8"/>
        <v>-1.8963497963675078</v>
      </c>
      <c r="G41" s="72">
        <f t="shared" si="8"/>
        <v>-3.4918509550527119</v>
      </c>
      <c r="H41" s="126">
        <f t="shared" si="8"/>
        <v>-3.9591594194887563</v>
      </c>
      <c r="I41" s="125">
        <f t="shared" si="8"/>
        <v>-1.7137210818657262</v>
      </c>
      <c r="J41" s="72">
        <f t="shared" si="8"/>
        <v>-3.05834438368327</v>
      </c>
      <c r="K41" s="126">
        <f t="shared" si="8"/>
        <v>-3.9013522546899608</v>
      </c>
      <c r="L41" s="125">
        <f t="shared" si="8"/>
        <v>-2.2634785103216668</v>
      </c>
      <c r="M41" s="72">
        <f t="shared" si="8"/>
        <v>-3.6167672019683934</v>
      </c>
      <c r="N41" s="126">
        <f t="shared" si="8"/>
        <v>-4.4810450898911576</v>
      </c>
      <c r="O41" s="125">
        <f t="shared" si="8"/>
        <v>-2.8132359387775949</v>
      </c>
      <c r="P41" s="72">
        <f t="shared" si="8"/>
        <v>-4.1751900202535168</v>
      </c>
      <c r="Q41" s="126">
        <f t="shared" si="8"/>
        <v>-5.1139937160721587</v>
      </c>
      <c r="R41" s="69"/>
    </row>
    <row r="42" spans="1:18">
      <c r="A42" s="75"/>
      <c r="B42" s="119"/>
      <c r="C42" s="123"/>
      <c r="D42" s="71"/>
      <c r="E42" s="124"/>
      <c r="F42" s="123"/>
      <c r="G42" s="71"/>
      <c r="H42" s="124"/>
      <c r="I42" s="123"/>
      <c r="J42" s="71"/>
      <c r="K42" s="124"/>
      <c r="L42" s="123"/>
      <c r="M42" s="71"/>
      <c r="N42" s="124"/>
      <c r="O42" s="123"/>
      <c r="P42" s="71"/>
      <c r="Q42" s="124"/>
      <c r="R42" s="69"/>
    </row>
    <row r="43" spans="1:18">
      <c r="A43" s="77" t="s">
        <v>68</v>
      </c>
      <c r="B43" s="119"/>
      <c r="C43" s="125">
        <f>C34-C16-C27</f>
        <v>1.2145291538417533</v>
      </c>
      <c r="D43" s="72">
        <f t="shared" ref="D43:Q43" si="9">D34-D16-D27</f>
        <v>1.2145291538417533</v>
      </c>
      <c r="E43" s="126">
        <f t="shared" si="9"/>
        <v>1.2145291538417533</v>
      </c>
      <c r="F43" s="125">
        <f t="shared" si="9"/>
        <v>0.14365020363249226</v>
      </c>
      <c r="G43" s="72">
        <f t="shared" si="9"/>
        <v>-1.4518509550527119</v>
      </c>
      <c r="H43" s="126">
        <f t="shared" si="9"/>
        <v>-1.9191594194887562</v>
      </c>
      <c r="I43" s="125">
        <f t="shared" si="9"/>
        <v>0.32627891813427379</v>
      </c>
      <c r="J43" s="72">
        <f t="shared" si="9"/>
        <v>-1.01834438368327</v>
      </c>
      <c r="K43" s="126">
        <f t="shared" si="9"/>
        <v>-1.8613522546899608</v>
      </c>
      <c r="L43" s="125">
        <f t="shared" si="9"/>
        <v>-0.22347851032166677</v>
      </c>
      <c r="M43" s="72">
        <f t="shared" si="9"/>
        <v>-1.5767672019683934</v>
      </c>
      <c r="N43" s="126">
        <f t="shared" si="9"/>
        <v>-2.4410450898911575</v>
      </c>
      <c r="O43" s="125">
        <f t="shared" si="9"/>
        <v>-0.77323593877759489</v>
      </c>
      <c r="P43" s="72">
        <f t="shared" si="9"/>
        <v>-2.1351900202535168</v>
      </c>
      <c r="Q43" s="126">
        <f t="shared" si="9"/>
        <v>-3.0739937160721587</v>
      </c>
      <c r="R43" s="69"/>
    </row>
    <row r="44" spans="1:18">
      <c r="A44" s="75"/>
      <c r="B44" s="119"/>
      <c r="C44" s="123"/>
      <c r="D44" s="71"/>
      <c r="E44" s="124"/>
      <c r="F44" s="123"/>
      <c r="G44" s="71"/>
      <c r="H44" s="124"/>
      <c r="I44" s="123"/>
      <c r="J44" s="71"/>
      <c r="K44" s="124"/>
      <c r="L44" s="123"/>
      <c r="M44" s="71"/>
      <c r="N44" s="124"/>
      <c r="O44" s="123"/>
      <c r="P44" s="71"/>
      <c r="Q44" s="124"/>
      <c r="R44" s="69"/>
    </row>
    <row r="45" spans="1:18" ht="32.25" thickBot="1">
      <c r="A45" s="81" t="s">
        <v>30</v>
      </c>
      <c r="B45" s="120"/>
      <c r="C45" s="127">
        <f>C34-C16-C26-C28-C21</f>
        <v>-2.5254708461582465</v>
      </c>
      <c r="D45" s="82">
        <f t="shared" ref="D45:Q45" si="10">D34-D16-D26-D28-D21</f>
        <v>-2.5254708461582465</v>
      </c>
      <c r="E45" s="128">
        <f t="shared" si="10"/>
        <v>-2.5254708461582465</v>
      </c>
      <c r="F45" s="127">
        <f t="shared" si="10"/>
        <v>-3.5963497963675075</v>
      </c>
      <c r="G45" s="82">
        <f t="shared" si="10"/>
        <v>-5.1918509550527112</v>
      </c>
      <c r="H45" s="128">
        <f t="shared" si="10"/>
        <v>-5.6591594194887556</v>
      </c>
      <c r="I45" s="127">
        <f t="shared" si="10"/>
        <v>-3.413721081865726</v>
      </c>
      <c r="J45" s="82">
        <f t="shared" si="10"/>
        <v>-4.7583443836832693</v>
      </c>
      <c r="K45" s="128">
        <f t="shared" si="10"/>
        <v>-5.6013522546899601</v>
      </c>
      <c r="L45" s="127">
        <f t="shared" si="10"/>
        <v>-3.9634785103216665</v>
      </c>
      <c r="M45" s="82">
        <f t="shared" si="10"/>
        <v>-5.3167672019683927</v>
      </c>
      <c r="N45" s="128">
        <f t="shared" si="10"/>
        <v>-6.1810450898911569</v>
      </c>
      <c r="O45" s="127">
        <f t="shared" si="10"/>
        <v>-4.5132359387775942</v>
      </c>
      <c r="P45" s="82">
        <f t="shared" si="10"/>
        <v>-5.8751900202535161</v>
      </c>
      <c r="Q45" s="128">
        <f t="shared" si="10"/>
        <v>-6.8139937160721589</v>
      </c>
      <c r="R45" s="69"/>
    </row>
    <row r="46" spans="1:18" ht="16.5" thickTop="1"/>
  </sheetData>
  <mergeCells count="21">
    <mergeCell ref="C37:E37"/>
    <mergeCell ref="F37:H37"/>
    <mergeCell ref="I37:K37"/>
    <mergeCell ref="L37:N37"/>
    <mergeCell ref="O37:Q37"/>
    <mergeCell ref="A38:B38"/>
    <mergeCell ref="A15:B15"/>
    <mergeCell ref="A7:Q7"/>
    <mergeCell ref="C9:E9"/>
    <mergeCell ref="F9:H9"/>
    <mergeCell ref="I9:K9"/>
    <mergeCell ref="L9:N9"/>
    <mergeCell ref="O9:Q9"/>
    <mergeCell ref="A10:B10"/>
    <mergeCell ref="A11:B11"/>
    <mergeCell ref="A12:B12"/>
    <mergeCell ref="A13:B13"/>
    <mergeCell ref="A14:B14"/>
    <mergeCell ref="A16:B16"/>
    <mergeCell ref="A17:B17"/>
    <mergeCell ref="A36:Q36"/>
  </mergeCells>
  <conditionalFormatting sqref="C39:Q45">
    <cfRule type="cellIs" dxfId="0" priority="3" operator="lessThan">
      <formula>0</formula>
    </cfRule>
  </conditionalFormatting>
  <printOptions horizontalCentered="1" verticalCentered="1"/>
  <pageMargins left="0.2" right="0.2" top="0.25" bottom="0.25" header="0.3" footer="0.3"/>
  <pageSetup scale="72" orientation="portrait" r:id="rId1"/>
  <drawing r:id="rId2"/>
</worksheet>
</file>

<file path=xl/worksheets/sheet9.xml><?xml version="1.0" encoding="utf-8"?>
<worksheet xmlns="http://schemas.openxmlformats.org/spreadsheetml/2006/main" xmlns:r="http://schemas.openxmlformats.org/officeDocument/2006/relationships">
  <dimension ref="A2:C19"/>
  <sheetViews>
    <sheetView workbookViewId="0">
      <selection activeCell="C27" sqref="C27"/>
    </sheetView>
  </sheetViews>
  <sheetFormatPr defaultRowHeight="15"/>
  <sheetData>
    <row r="2" spans="1:3" ht="15.75">
      <c r="A2" s="43"/>
      <c r="B2" s="43"/>
      <c r="C2" s="43"/>
    </row>
    <row r="3" spans="1:3" ht="15.75">
      <c r="A3" s="48">
        <v>1.37</v>
      </c>
      <c r="B3" s="43"/>
      <c r="C3" s="43"/>
    </row>
    <row r="4" spans="1:3" ht="15.75">
      <c r="A4" s="48">
        <v>1.49</v>
      </c>
      <c r="B4" s="43"/>
      <c r="C4" s="43"/>
    </row>
    <row r="5" spans="1:3" ht="15.75">
      <c r="A5" s="48">
        <v>1.52</v>
      </c>
      <c r="B5" s="43"/>
      <c r="C5" s="43"/>
    </row>
    <row r="6" spans="1:3" ht="15.75">
      <c r="A6" s="48">
        <v>1.36</v>
      </c>
      <c r="B6" s="43"/>
      <c r="C6" s="43"/>
    </row>
    <row r="7" spans="1:3" ht="15.75">
      <c r="A7" s="48">
        <v>1.62</v>
      </c>
      <c r="B7" s="43"/>
      <c r="C7" s="43"/>
    </row>
    <row r="8" spans="1:3" ht="15.75">
      <c r="A8" s="48">
        <v>1.62</v>
      </c>
      <c r="B8" s="43"/>
      <c r="C8" s="43"/>
    </row>
    <row r="9" spans="1:3" ht="15.75">
      <c r="A9" s="48">
        <v>1.64</v>
      </c>
      <c r="B9" s="43"/>
      <c r="C9" s="43"/>
    </row>
    <row r="10" spans="1:3" ht="15.75">
      <c r="A10" s="48">
        <v>1.33</v>
      </c>
      <c r="B10" s="43"/>
      <c r="C10" s="43"/>
    </row>
    <row r="11" spans="1:3" ht="15.75">
      <c r="A11" s="48">
        <v>1.67</v>
      </c>
      <c r="B11" s="43"/>
      <c r="C11" s="43"/>
    </row>
    <row r="12" spans="1:3" ht="15.75">
      <c r="A12" s="48">
        <v>1.53</v>
      </c>
      <c r="B12" s="43"/>
      <c r="C12" s="43"/>
    </row>
    <row r="13" spans="1:3" ht="15.75">
      <c r="A13" s="48">
        <v>1.73</v>
      </c>
      <c r="B13" s="43"/>
      <c r="C13" s="43"/>
    </row>
    <row r="14" spans="1:3" ht="15.75">
      <c r="A14" s="48">
        <v>1.51</v>
      </c>
      <c r="B14" s="43"/>
      <c r="C14" s="43"/>
    </row>
    <row r="15" spans="1:3" ht="15.75">
      <c r="A15" s="48">
        <v>1.48</v>
      </c>
      <c r="B15" s="43"/>
      <c r="C15" s="43"/>
    </row>
    <row r="16" spans="1:3" ht="15.75">
      <c r="A16" s="48">
        <f>PERCENTILE(A3:A15,0.9)</f>
        <v>1.6639999999999999</v>
      </c>
      <c r="B16" s="43" t="s">
        <v>52</v>
      </c>
      <c r="C16" s="43"/>
    </row>
    <row r="17" spans="1:3" ht="15.75">
      <c r="A17" s="48">
        <f>PERCENTILE(A3:A15,0.8)</f>
        <v>1.6320000000000001</v>
      </c>
      <c r="B17" s="43" t="s">
        <v>53</v>
      </c>
      <c r="C17" s="43"/>
    </row>
    <row r="18" spans="1:3" ht="15.75">
      <c r="A18" s="48"/>
      <c r="B18" s="43"/>
      <c r="C18" s="48"/>
    </row>
    <row r="19" spans="1:3" ht="15.75">
      <c r="A19" s="48"/>
      <c r="B19" s="43"/>
      <c r="C19"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Full System Pop and Avg Day</vt:lpstr>
      <vt:lpstr>Low Maximum Day by Zone</vt:lpstr>
      <vt:lpstr>Median Maximum Day by Zone</vt:lpstr>
      <vt:lpstr>High Maximum Day by Zone</vt:lpstr>
      <vt:lpstr>Option #1 Average Day </vt:lpstr>
      <vt:lpstr>Option #2 Maximum</vt:lpstr>
      <vt:lpstr>Option #3 Max 10 Day</vt:lpstr>
      <vt:lpstr>Option #4 Max 10 Day at 85%</vt:lpstr>
      <vt:lpstr>Peaking Factors from Memo</vt:lpstr>
      <vt:lpstr>LDN Original Spreadsheet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D. Nelson</dc:creator>
  <cp:lastModifiedBy>wuall</cp:lastModifiedBy>
  <cp:lastPrinted>2011-02-17T14:54:08Z</cp:lastPrinted>
  <dcterms:created xsi:type="dcterms:W3CDTF">2011-02-09T14:22:57Z</dcterms:created>
  <dcterms:modified xsi:type="dcterms:W3CDTF">2011-03-28T18:54:36Z</dcterms:modified>
</cp:coreProperties>
</file>